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90" yWindow="30" windowWidth="15480" windowHeight="10800" activeTab="0"/>
  </bookViews>
  <sheets>
    <sheet name="AIDU_25" sheetId="1" r:id="rId1"/>
    <sheet name="CCHS_25" sheetId="2" r:id="rId2"/>
    <sheet name="BAYH_25" sheetId="3" r:id="rId3"/>
    <sheet name="SFRA_25" sheetId="4" r:id="rId4"/>
    <sheet name="NANT_25" sheetId="5" r:id="rId5"/>
    <sheet name="BEEB_25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<sst xmlns="http://schemas.openxmlformats.org/spreadsheetml/2006/main" count="78" uniqueCount="18">
  <si>
    <t>APR-DRG</t>
  </si>
  <si>
    <t>#</t>
  </si>
  <si>
    <t>% of Top 25</t>
  </si>
  <si>
    <t>% of All</t>
  </si>
  <si>
    <t>ALOS</t>
  </si>
  <si>
    <t>Ave Charges</t>
  </si>
  <si>
    <t>% Male</t>
  </si>
  <si>
    <t>% Female</t>
  </si>
  <si>
    <t>&lt;18</t>
  </si>
  <si>
    <t>18-44</t>
  </si>
  <si>
    <t>45-64</t>
  </si>
  <si>
    <t>65+</t>
  </si>
  <si>
    <t>Top 25 APR-DRGs for Alfred I. duPont Hospital for Children, 2010</t>
  </si>
  <si>
    <t>Top 25 APR-DRGs for Christiana Health Care System, 2010</t>
  </si>
  <si>
    <t>Top 25 APR-DRGs for BayHealth Medical Center, 2010</t>
  </si>
  <si>
    <t>Top 25 APR-DRGs for St. Francis Hospital, 2010</t>
  </si>
  <si>
    <t>Top 25 APR-DRGs for Nanticoke Memorial Hospital, 2010</t>
  </si>
  <si>
    <t>Top 25 APR-DRGs for Beebe Medical Center,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</si>
</sst>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42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60"/>
      <name val="Arial"/>
      <family val="2"/>
    </font>
    <font>
      <sz val="8"/>
      <color indexed="1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993300"/>
      <name val="Arial"/>
      <family val="2"/>
    </font>
    <font>
      <sz val="8"/>
      <color rgb="FF0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/>
    </xf>
    <xf numFmtId="0" fontId="41" fillId="0" borderId="14" xfId="0" applyFont="1" applyBorder="1" applyAlignment="1">
      <alignment/>
    </xf>
    <xf numFmtId="164" fontId="41" fillId="0" borderId="14" xfId="0" applyNumberFormat="1" applyFont="1" applyBorder="1" applyAlignment="1">
      <alignment/>
    </xf>
    <xf numFmtId="165" fontId="41" fillId="0" borderId="14" xfId="0" applyNumberFormat="1" applyFont="1" applyBorder="1" applyAlignment="1">
      <alignment/>
    </xf>
    <xf numFmtId="164" fontId="41" fillId="0" borderId="15" xfId="0" applyNumberFormat="1" applyFont="1" applyBorder="1" applyAlignment="1">
      <alignment/>
    </xf>
    <xf numFmtId="164" fontId="41" fillId="0" borderId="16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164" fontId="41" fillId="0" borderId="18" xfId="0" applyNumberFormat="1" applyFont="1" applyBorder="1" applyAlignment="1">
      <alignment/>
    </xf>
    <xf numFmtId="165" fontId="41" fillId="0" borderId="18" xfId="0" applyNumberFormat="1" applyFont="1" applyBorder="1" applyAlignment="1">
      <alignment/>
    </xf>
    <xf numFmtId="164" fontId="41" fillId="0" borderId="19" xfId="0" applyNumberFormat="1" applyFont="1" applyBorder="1" applyAlignment="1">
      <alignment/>
    </xf>
    <xf numFmtId="164" fontId="41" fillId="0" borderId="20" xfId="0" applyNumberFormat="1" applyFont="1" applyBorder="1" applyAlignment="1">
      <alignment/>
    </xf>
    <xf numFmtId="164" fontId="41" fillId="0" borderId="17" xfId="0" applyNumberFormat="1" applyFon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165" fontId="41" fillId="0" borderId="0" xfId="0" applyNumberFormat="1" applyFont="1" applyBorder="1" applyAlignment="1">
      <alignment/>
    </xf>
    <xf numFmtId="1" fontId="41" fillId="0" borderId="14" xfId="0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57150</xdr:rowOff>
    </xdr:from>
    <xdr:to>
      <xdr:col>8</xdr:col>
      <xdr:colOff>180975</xdr:colOff>
      <xdr:row>32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952875"/>
          <a:ext cx="76962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APR-DRGs are 3M's All Patient Refined Diagnosis Related Groups.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3M's APR-DRG software uses diagnostic, procedural, and demographic patient data to classify each discharge in a clinically meaningful category.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The top 25 APR-DRGs were identified as those with the 25 highest number of discharges.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ALOS ,or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average length of stay ,is the average number of days per hospitalization for a particular APR-DRG.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rdr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-DRG"/>
      <sheetName val="APR-DRG MDC"/>
      <sheetName val="APRDRG SERVLINE"/>
      <sheetName val="Sheet4"/>
      <sheetName val="APR-DRG PIVOT1"/>
      <sheetName val="APR-DRG PIVOT2"/>
      <sheetName val="APR-DRG MDC PIVOT1"/>
      <sheetName val="APR-DRG MDC PIVOT2"/>
      <sheetName val="SERVLINE PIVOT1"/>
      <sheetName val="SERVLINE PIVOT2"/>
      <sheetName val="Top 25"/>
      <sheetName val="Top25AIDU"/>
      <sheetName val="AIDU_25"/>
      <sheetName val="Top25CCHS"/>
      <sheetName val="CCHS_25"/>
      <sheetName val="Top25BAYH"/>
      <sheetName val="BAYH_25"/>
      <sheetName val="Top25SFRA"/>
      <sheetName val="SFRA_25"/>
      <sheetName val="Top25NANT"/>
      <sheetName val="NANT_25"/>
      <sheetName val="Top25BEEB"/>
      <sheetName val="BEEB_25"/>
      <sheetName val="Top25BEEB_2"/>
      <sheetName val="BEEB_25SOIMED"/>
      <sheetName val="Top25AIDU_2"/>
      <sheetName val="AIDU_25SOIMED"/>
      <sheetName val="Top25CCHS_2"/>
      <sheetName val="CCHS_25SOIMED"/>
      <sheetName val="Top25NANT_2"/>
      <sheetName val="NANT_25SOIMED"/>
      <sheetName val="Top25SFRA_2"/>
      <sheetName val="SFRA_25SOIMED"/>
      <sheetName val="Top25BAYH_2"/>
      <sheetName val="BAYH_25SOIMED"/>
    </sheetNames>
    <sheetDataSet>
      <sheetData sheetId="11">
        <row r="5">
          <cell r="A5">
            <v>745</v>
          </cell>
          <cell r="B5" t="str">
            <v>drg</v>
          </cell>
          <cell r="C5" t="str">
            <v>ASTHMA                                                                            </v>
          </cell>
          <cell r="D5">
            <v>740</v>
          </cell>
          <cell r="E5">
            <v>5</v>
          </cell>
          <cell r="F5">
            <v>0</v>
          </cell>
          <cell r="G5">
            <v>0</v>
          </cell>
          <cell r="H5">
            <v>0</v>
          </cell>
          <cell r="I5">
            <v>745</v>
          </cell>
          <cell r="J5">
            <v>473</v>
          </cell>
          <cell r="K5">
            <v>272</v>
          </cell>
          <cell r="L5">
            <v>0</v>
          </cell>
          <cell r="M5">
            <v>745</v>
          </cell>
          <cell r="N5">
            <v>1.7</v>
          </cell>
          <cell r="O5">
            <v>11608.61</v>
          </cell>
          <cell r="P5">
            <v>5.5</v>
          </cell>
        </row>
        <row r="6">
          <cell r="A6">
            <v>538</v>
          </cell>
          <cell r="C6" t="str">
            <v>BRONCHIOLITIS &amp; RSV PNEUMONIA                                                     </v>
          </cell>
          <cell r="D6">
            <v>538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538</v>
          </cell>
          <cell r="J6">
            <v>333</v>
          </cell>
          <cell r="K6">
            <v>205</v>
          </cell>
          <cell r="L6">
            <v>0</v>
          </cell>
          <cell r="M6">
            <v>538</v>
          </cell>
          <cell r="N6">
            <v>2.6</v>
          </cell>
          <cell r="O6">
            <v>15317.89</v>
          </cell>
          <cell r="P6">
            <v>0.5</v>
          </cell>
        </row>
        <row r="7">
          <cell r="A7">
            <v>383</v>
          </cell>
          <cell r="C7" t="str">
            <v>OTHER PNEUMONIA                                                                   </v>
          </cell>
          <cell r="D7">
            <v>373</v>
          </cell>
          <cell r="E7">
            <v>10</v>
          </cell>
          <cell r="F7">
            <v>0</v>
          </cell>
          <cell r="G7">
            <v>0</v>
          </cell>
          <cell r="H7">
            <v>0</v>
          </cell>
          <cell r="I7">
            <v>383</v>
          </cell>
          <cell r="J7">
            <v>201</v>
          </cell>
          <cell r="K7">
            <v>182</v>
          </cell>
          <cell r="L7">
            <v>0</v>
          </cell>
          <cell r="M7">
            <v>383</v>
          </cell>
          <cell r="N7">
            <v>2.8</v>
          </cell>
          <cell r="O7">
            <v>16063.11</v>
          </cell>
          <cell r="P7">
            <v>5</v>
          </cell>
        </row>
        <row r="8">
          <cell r="A8">
            <v>365</v>
          </cell>
          <cell r="C8" t="str">
            <v>NON-BACTERIAL GASTROENTERITIS, NAUSEA &amp; VOMITING                                  </v>
          </cell>
          <cell r="D8">
            <v>359</v>
          </cell>
          <cell r="E8">
            <v>6</v>
          </cell>
          <cell r="F8">
            <v>0</v>
          </cell>
          <cell r="G8">
            <v>0</v>
          </cell>
          <cell r="H8">
            <v>0</v>
          </cell>
          <cell r="I8">
            <v>365</v>
          </cell>
          <cell r="J8">
            <v>190</v>
          </cell>
          <cell r="K8">
            <v>175</v>
          </cell>
          <cell r="L8">
            <v>0</v>
          </cell>
          <cell r="M8">
            <v>365</v>
          </cell>
          <cell r="N8">
            <v>2</v>
          </cell>
          <cell r="O8">
            <v>10331.09</v>
          </cell>
          <cell r="P8">
            <v>4.2</v>
          </cell>
        </row>
        <row r="9">
          <cell r="A9">
            <v>364</v>
          </cell>
          <cell r="C9" t="str">
            <v>CELLULITIS &amp; OTHER BACTERIAL SKIN INFECTIONS                                      </v>
          </cell>
          <cell r="D9">
            <v>356</v>
          </cell>
          <cell r="E9">
            <v>8</v>
          </cell>
          <cell r="F9">
            <v>0</v>
          </cell>
          <cell r="G9">
            <v>0</v>
          </cell>
          <cell r="H9">
            <v>0</v>
          </cell>
          <cell r="I9">
            <v>364</v>
          </cell>
          <cell r="J9">
            <v>193</v>
          </cell>
          <cell r="K9">
            <v>171</v>
          </cell>
          <cell r="L9">
            <v>0</v>
          </cell>
          <cell r="M9">
            <v>364</v>
          </cell>
          <cell r="N9">
            <v>2</v>
          </cell>
          <cell r="O9">
            <v>10561.13</v>
          </cell>
          <cell r="P9">
            <v>5.9</v>
          </cell>
        </row>
        <row r="10">
          <cell r="A10">
            <v>355</v>
          </cell>
          <cell r="C10" t="str">
            <v>INFECTIONS OF UPPER RESPIRATORY TRACT                                             </v>
          </cell>
          <cell r="D10">
            <v>353</v>
          </cell>
          <cell r="E10">
            <v>2</v>
          </cell>
          <cell r="F10">
            <v>0</v>
          </cell>
          <cell r="G10">
            <v>0</v>
          </cell>
          <cell r="H10">
            <v>0</v>
          </cell>
          <cell r="I10">
            <v>355</v>
          </cell>
          <cell r="J10">
            <v>210</v>
          </cell>
          <cell r="K10">
            <v>145</v>
          </cell>
          <cell r="L10">
            <v>0</v>
          </cell>
          <cell r="M10">
            <v>355</v>
          </cell>
          <cell r="N10">
            <v>1.8</v>
          </cell>
          <cell r="O10">
            <v>10440.99</v>
          </cell>
          <cell r="P10">
            <v>3.7</v>
          </cell>
        </row>
        <row r="11">
          <cell r="A11">
            <v>323</v>
          </cell>
          <cell r="C11" t="str">
            <v>SEIZURE                                                                           </v>
          </cell>
          <cell r="D11">
            <v>318</v>
          </cell>
          <cell r="E11">
            <v>5</v>
          </cell>
          <cell r="F11">
            <v>0</v>
          </cell>
          <cell r="G11">
            <v>0</v>
          </cell>
          <cell r="H11">
            <v>0</v>
          </cell>
          <cell r="I11">
            <v>323</v>
          </cell>
          <cell r="J11">
            <v>172</v>
          </cell>
          <cell r="K11">
            <v>151</v>
          </cell>
          <cell r="L11">
            <v>0</v>
          </cell>
          <cell r="M11">
            <v>323</v>
          </cell>
          <cell r="N11">
            <v>3.1</v>
          </cell>
          <cell r="O11">
            <v>20415.26</v>
          </cell>
          <cell r="P11">
            <v>5.5</v>
          </cell>
        </row>
        <row r="12">
          <cell r="A12">
            <v>272</v>
          </cell>
          <cell r="C12" t="str">
            <v>OTHER DIGESTIVE SYSTEM DIAGNOSES                                                  </v>
          </cell>
          <cell r="D12">
            <v>264</v>
          </cell>
          <cell r="E12">
            <v>8</v>
          </cell>
          <cell r="F12">
            <v>0</v>
          </cell>
          <cell r="G12">
            <v>0</v>
          </cell>
          <cell r="H12">
            <v>0</v>
          </cell>
          <cell r="I12">
            <v>272</v>
          </cell>
          <cell r="J12">
            <v>154</v>
          </cell>
          <cell r="K12">
            <v>118</v>
          </cell>
          <cell r="L12">
            <v>0</v>
          </cell>
          <cell r="M12">
            <v>272</v>
          </cell>
          <cell r="N12">
            <v>2.6</v>
          </cell>
          <cell r="O12">
            <v>13650.96</v>
          </cell>
          <cell r="P12">
            <v>8</v>
          </cell>
        </row>
        <row r="13">
          <cell r="A13">
            <v>199</v>
          </cell>
          <cell r="C13" t="str">
            <v>DIABETES                                                                          </v>
          </cell>
          <cell r="D13">
            <v>193</v>
          </cell>
          <cell r="E13">
            <v>6</v>
          </cell>
          <cell r="F13">
            <v>0</v>
          </cell>
          <cell r="G13">
            <v>0</v>
          </cell>
          <cell r="H13">
            <v>0</v>
          </cell>
          <cell r="I13">
            <v>199</v>
          </cell>
          <cell r="J13">
            <v>97</v>
          </cell>
          <cell r="K13">
            <v>102</v>
          </cell>
          <cell r="L13">
            <v>0</v>
          </cell>
          <cell r="M13">
            <v>199</v>
          </cell>
          <cell r="N13">
            <v>2.6</v>
          </cell>
          <cell r="O13">
            <v>15272.4</v>
          </cell>
          <cell r="P13">
            <v>11.4</v>
          </cell>
        </row>
        <row r="14">
          <cell r="A14">
            <v>182</v>
          </cell>
          <cell r="C14" t="str">
            <v>KIDNEY &amp; URINARY TRACT INFECTIONS                                                 </v>
          </cell>
          <cell r="D14">
            <v>176</v>
          </cell>
          <cell r="E14">
            <v>6</v>
          </cell>
          <cell r="F14">
            <v>0</v>
          </cell>
          <cell r="G14">
            <v>0</v>
          </cell>
          <cell r="H14">
            <v>0</v>
          </cell>
          <cell r="I14">
            <v>182</v>
          </cell>
          <cell r="J14">
            <v>46</v>
          </cell>
          <cell r="K14">
            <v>136</v>
          </cell>
          <cell r="L14">
            <v>0</v>
          </cell>
          <cell r="M14">
            <v>182</v>
          </cell>
          <cell r="N14">
            <v>3.2</v>
          </cell>
          <cell r="O14">
            <v>14607.71</v>
          </cell>
          <cell r="P14">
            <v>5.3</v>
          </cell>
        </row>
        <row r="15">
          <cell r="A15">
            <v>176</v>
          </cell>
          <cell r="C15" t="str">
            <v>VIRAL ILLNESS                                                                     </v>
          </cell>
          <cell r="D15">
            <v>174</v>
          </cell>
          <cell r="E15">
            <v>2</v>
          </cell>
          <cell r="F15">
            <v>0</v>
          </cell>
          <cell r="G15">
            <v>0</v>
          </cell>
          <cell r="H15">
            <v>0</v>
          </cell>
          <cell r="I15">
            <v>176</v>
          </cell>
          <cell r="J15">
            <v>99</v>
          </cell>
          <cell r="K15">
            <v>77</v>
          </cell>
          <cell r="L15">
            <v>0</v>
          </cell>
          <cell r="M15">
            <v>176</v>
          </cell>
          <cell r="N15">
            <v>2.2</v>
          </cell>
          <cell r="O15">
            <v>12123.32</v>
          </cell>
          <cell r="P15">
            <v>4.1</v>
          </cell>
        </row>
        <row r="16">
          <cell r="A16">
            <v>171</v>
          </cell>
          <cell r="C16" t="str">
            <v>DORSAL &amp; LUMBAR FUSION PROC FOR CURVATURE OF BACK                                 </v>
          </cell>
          <cell r="D16">
            <v>148</v>
          </cell>
          <cell r="E16">
            <v>23</v>
          </cell>
          <cell r="F16">
            <v>0</v>
          </cell>
          <cell r="G16">
            <v>0</v>
          </cell>
          <cell r="H16">
            <v>0</v>
          </cell>
          <cell r="I16">
            <v>171</v>
          </cell>
          <cell r="J16">
            <v>61</v>
          </cell>
          <cell r="K16">
            <v>110</v>
          </cell>
          <cell r="L16">
            <v>0</v>
          </cell>
          <cell r="M16">
            <v>171</v>
          </cell>
          <cell r="N16">
            <v>10</v>
          </cell>
          <cell r="O16">
            <v>160692.39</v>
          </cell>
          <cell r="P16">
            <v>14.2</v>
          </cell>
        </row>
        <row r="17">
          <cell r="A17">
            <v>169</v>
          </cell>
          <cell r="C17" t="str">
            <v>HYPOVOLEMIA &amp; RELATED ELECTROLYTE DISORDERS                                       </v>
          </cell>
          <cell r="D17">
            <v>165</v>
          </cell>
          <cell r="E17">
            <v>4</v>
          </cell>
          <cell r="F17">
            <v>0</v>
          </cell>
          <cell r="G17">
            <v>0</v>
          </cell>
          <cell r="H17">
            <v>0</v>
          </cell>
          <cell r="I17">
            <v>169</v>
          </cell>
          <cell r="J17">
            <v>93</v>
          </cell>
          <cell r="K17">
            <v>76</v>
          </cell>
          <cell r="L17">
            <v>0</v>
          </cell>
          <cell r="M17">
            <v>169</v>
          </cell>
          <cell r="N17">
            <v>2.2</v>
          </cell>
          <cell r="O17">
            <v>10972.59</v>
          </cell>
          <cell r="P17">
            <v>4.6</v>
          </cell>
        </row>
        <row r="18">
          <cell r="A18">
            <v>166</v>
          </cell>
          <cell r="C18" t="str">
            <v>HIP &amp; FEMUR PROCEDURES FOR NON-TRAUMA EXCEPT JOINT REPLACEMENT                    </v>
          </cell>
          <cell r="D18">
            <v>159</v>
          </cell>
          <cell r="E18">
            <v>7</v>
          </cell>
          <cell r="F18">
            <v>0</v>
          </cell>
          <cell r="G18">
            <v>0</v>
          </cell>
          <cell r="H18">
            <v>0</v>
          </cell>
          <cell r="I18">
            <v>166</v>
          </cell>
          <cell r="J18">
            <v>86</v>
          </cell>
          <cell r="K18">
            <v>80</v>
          </cell>
          <cell r="L18">
            <v>0</v>
          </cell>
          <cell r="M18">
            <v>166</v>
          </cell>
          <cell r="N18">
            <v>3.5</v>
          </cell>
          <cell r="O18">
            <v>36819.7</v>
          </cell>
          <cell r="P18">
            <v>9.4</v>
          </cell>
        </row>
        <row r="19">
          <cell r="A19">
            <v>161</v>
          </cell>
          <cell r="C19" t="str">
            <v>CHEMOTHERAPY                                                                      </v>
          </cell>
          <cell r="D19">
            <v>149</v>
          </cell>
          <cell r="E19">
            <v>12</v>
          </cell>
          <cell r="F19">
            <v>0</v>
          </cell>
          <cell r="G19">
            <v>0</v>
          </cell>
          <cell r="H19">
            <v>0</v>
          </cell>
          <cell r="I19">
            <v>161</v>
          </cell>
          <cell r="J19">
            <v>69</v>
          </cell>
          <cell r="K19">
            <v>92</v>
          </cell>
          <cell r="L19">
            <v>0</v>
          </cell>
          <cell r="M19">
            <v>161</v>
          </cell>
          <cell r="N19">
            <v>5</v>
          </cell>
          <cell r="O19">
            <v>28898.89</v>
          </cell>
          <cell r="P19">
            <v>9.8</v>
          </cell>
        </row>
        <row r="20">
          <cell r="A20">
            <v>133</v>
          </cell>
          <cell r="C20" t="str">
            <v>SICKLE CELL ANEMIA CRISIS                                                         </v>
          </cell>
          <cell r="D20">
            <v>106</v>
          </cell>
          <cell r="E20">
            <v>27</v>
          </cell>
          <cell r="F20">
            <v>0</v>
          </cell>
          <cell r="G20">
            <v>0</v>
          </cell>
          <cell r="H20">
            <v>0</v>
          </cell>
          <cell r="I20">
            <v>133</v>
          </cell>
          <cell r="J20">
            <v>86</v>
          </cell>
          <cell r="K20">
            <v>47</v>
          </cell>
          <cell r="L20">
            <v>0</v>
          </cell>
          <cell r="M20">
            <v>133</v>
          </cell>
          <cell r="N20">
            <v>3.8</v>
          </cell>
          <cell r="O20">
            <v>18763.49</v>
          </cell>
          <cell r="P20">
            <v>10.9</v>
          </cell>
        </row>
        <row r="21">
          <cell r="A21">
            <v>126</v>
          </cell>
          <cell r="C21" t="str">
            <v>OTHER ESOPHAGEAL DISORDERS                                                        </v>
          </cell>
          <cell r="D21">
            <v>125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126</v>
          </cell>
          <cell r="J21">
            <v>67</v>
          </cell>
          <cell r="K21">
            <v>59</v>
          </cell>
          <cell r="L21">
            <v>0</v>
          </cell>
          <cell r="M21">
            <v>126</v>
          </cell>
          <cell r="N21">
            <v>2.3</v>
          </cell>
          <cell r="O21">
            <v>12433.75</v>
          </cell>
          <cell r="P21">
            <v>1.4</v>
          </cell>
        </row>
        <row r="22">
          <cell r="A22">
            <v>121</v>
          </cell>
          <cell r="C22" t="str">
            <v>APPENDECTOMY                                                                      </v>
          </cell>
          <cell r="D22">
            <v>121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121</v>
          </cell>
          <cell r="J22">
            <v>72</v>
          </cell>
          <cell r="K22">
            <v>49</v>
          </cell>
          <cell r="L22">
            <v>0</v>
          </cell>
          <cell r="M22">
            <v>121</v>
          </cell>
          <cell r="N22">
            <v>2.7</v>
          </cell>
          <cell r="O22">
            <v>22447.62</v>
          </cell>
          <cell r="P22">
            <v>10.6</v>
          </cell>
        </row>
        <row r="23">
          <cell r="A23">
            <v>115</v>
          </cell>
          <cell r="C23" t="str">
            <v>SIGNS, SYMPTOMS &amp; OTHER FACTORS INFLUENCING HEALTH STATUS                         </v>
          </cell>
          <cell r="D23">
            <v>111</v>
          </cell>
          <cell r="E23">
            <v>4</v>
          </cell>
          <cell r="F23">
            <v>0</v>
          </cell>
          <cell r="G23">
            <v>0</v>
          </cell>
          <cell r="H23">
            <v>0</v>
          </cell>
          <cell r="I23">
            <v>115</v>
          </cell>
          <cell r="J23">
            <v>58</v>
          </cell>
          <cell r="K23">
            <v>57</v>
          </cell>
          <cell r="L23">
            <v>0</v>
          </cell>
          <cell r="M23">
            <v>115</v>
          </cell>
          <cell r="N23">
            <v>3.8</v>
          </cell>
          <cell r="O23">
            <v>27102.02</v>
          </cell>
          <cell r="P23">
            <v>3.3</v>
          </cell>
        </row>
        <row r="24">
          <cell r="A24">
            <v>112</v>
          </cell>
          <cell r="C24" t="str">
            <v>TONSIL &amp; ADENOID PROCEDURES                                                       </v>
          </cell>
          <cell r="D24">
            <v>111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112</v>
          </cell>
          <cell r="J24">
            <v>53</v>
          </cell>
          <cell r="K24">
            <v>59</v>
          </cell>
          <cell r="L24">
            <v>0</v>
          </cell>
          <cell r="M24">
            <v>112</v>
          </cell>
          <cell r="N24">
            <v>2.2</v>
          </cell>
          <cell r="O24">
            <v>17497.85</v>
          </cell>
          <cell r="P24">
            <v>4.9</v>
          </cell>
        </row>
        <row r="25">
          <cell r="A25">
            <v>110</v>
          </cell>
          <cell r="C25" t="str">
            <v>POISONING OF MEDICINAL AGENTS                                                     </v>
          </cell>
          <cell r="D25">
            <v>108</v>
          </cell>
          <cell r="E25">
            <v>2</v>
          </cell>
          <cell r="F25">
            <v>0</v>
          </cell>
          <cell r="G25">
            <v>0</v>
          </cell>
          <cell r="H25">
            <v>0</v>
          </cell>
          <cell r="I25">
            <v>110</v>
          </cell>
          <cell r="J25">
            <v>56</v>
          </cell>
          <cell r="K25">
            <v>54</v>
          </cell>
          <cell r="L25">
            <v>0</v>
          </cell>
          <cell r="M25">
            <v>110</v>
          </cell>
          <cell r="N25">
            <v>1.3</v>
          </cell>
          <cell r="O25">
            <v>9926.56</v>
          </cell>
          <cell r="P25">
            <v>8.7</v>
          </cell>
        </row>
        <row r="26">
          <cell r="A26">
            <v>106</v>
          </cell>
          <cell r="C26" t="str">
            <v>MIGRAINE &amp; OTHER HEADACHES                                                        </v>
          </cell>
          <cell r="D26">
            <v>101</v>
          </cell>
          <cell r="E26">
            <v>5</v>
          </cell>
          <cell r="F26">
            <v>0</v>
          </cell>
          <cell r="G26">
            <v>0</v>
          </cell>
          <cell r="H26">
            <v>0</v>
          </cell>
          <cell r="I26">
            <v>106</v>
          </cell>
          <cell r="J26">
            <v>32</v>
          </cell>
          <cell r="K26">
            <v>74</v>
          </cell>
          <cell r="L26">
            <v>0</v>
          </cell>
          <cell r="M26">
            <v>106</v>
          </cell>
          <cell r="N26">
            <v>2.2</v>
          </cell>
          <cell r="O26">
            <v>11597.19</v>
          </cell>
          <cell r="P26">
            <v>13.5</v>
          </cell>
        </row>
        <row r="27">
          <cell r="A27">
            <v>99</v>
          </cell>
          <cell r="C27" t="str">
            <v>OTHER ANEMIA &amp; DISORDERS OF BLOOD &amp; BLOOD-FORMING ORGANS                          </v>
          </cell>
          <cell r="D27">
            <v>99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99</v>
          </cell>
          <cell r="J27">
            <v>53</v>
          </cell>
          <cell r="K27">
            <v>46</v>
          </cell>
          <cell r="L27">
            <v>0</v>
          </cell>
          <cell r="M27">
            <v>99</v>
          </cell>
          <cell r="N27">
            <v>2.5</v>
          </cell>
          <cell r="O27">
            <v>14420.99</v>
          </cell>
          <cell r="P27">
            <v>5.8</v>
          </cell>
        </row>
        <row r="28">
          <cell r="A28">
            <v>98.001</v>
          </cell>
          <cell r="C28" t="str">
            <v>FEVER                                                                             </v>
          </cell>
          <cell r="D28">
            <v>96</v>
          </cell>
          <cell r="E28">
            <v>2</v>
          </cell>
          <cell r="F28">
            <v>0</v>
          </cell>
          <cell r="G28">
            <v>0</v>
          </cell>
          <cell r="H28">
            <v>0</v>
          </cell>
          <cell r="I28">
            <v>98</v>
          </cell>
          <cell r="J28">
            <v>49</v>
          </cell>
          <cell r="K28">
            <v>49</v>
          </cell>
          <cell r="L28">
            <v>0</v>
          </cell>
          <cell r="M28">
            <v>98</v>
          </cell>
          <cell r="N28">
            <v>2.6</v>
          </cell>
          <cell r="O28">
            <v>13947.22</v>
          </cell>
          <cell r="P28">
            <v>3.8</v>
          </cell>
        </row>
        <row r="29">
          <cell r="A29">
            <v>98</v>
          </cell>
          <cell r="C29" t="str">
            <v>ABDOMINAL PAIN                                                                    </v>
          </cell>
          <cell r="D29">
            <v>98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98</v>
          </cell>
          <cell r="J29">
            <v>42</v>
          </cell>
          <cell r="K29">
            <v>56</v>
          </cell>
          <cell r="L29">
            <v>0</v>
          </cell>
          <cell r="M29">
            <v>98</v>
          </cell>
          <cell r="N29">
            <v>1.8</v>
          </cell>
          <cell r="O29">
            <v>11530.43</v>
          </cell>
          <cell r="P29">
            <v>11.1</v>
          </cell>
        </row>
        <row r="30">
          <cell r="A30">
            <v>94</v>
          </cell>
          <cell r="C30" t="str">
            <v>MALNUTRITION, FAILURE TO THRIVE &amp; OTHER NUTRITIONAL DISORDERS                     </v>
          </cell>
          <cell r="D30">
            <v>93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94</v>
          </cell>
          <cell r="J30">
            <v>44</v>
          </cell>
          <cell r="K30">
            <v>50</v>
          </cell>
          <cell r="L30">
            <v>0</v>
          </cell>
          <cell r="M30">
            <v>94</v>
          </cell>
          <cell r="N30">
            <v>5.3</v>
          </cell>
          <cell r="O30">
            <v>25639.5</v>
          </cell>
          <cell r="P30">
            <v>2.3</v>
          </cell>
        </row>
        <row r="31">
          <cell r="A31">
            <v>91.001</v>
          </cell>
          <cell r="C31" t="str">
            <v>OTHER EAR, NOSE, MOUTH,THROAT &amp; CRANIAL/FACIAL DIAGNOSES                          </v>
          </cell>
          <cell r="D31">
            <v>91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91</v>
          </cell>
          <cell r="J31">
            <v>63</v>
          </cell>
          <cell r="K31">
            <v>28</v>
          </cell>
          <cell r="L31">
            <v>0</v>
          </cell>
          <cell r="M31">
            <v>91</v>
          </cell>
          <cell r="N31">
            <v>2</v>
          </cell>
          <cell r="O31">
            <v>12781.38</v>
          </cell>
          <cell r="P31">
            <v>4.2</v>
          </cell>
        </row>
        <row r="32">
          <cell r="A32">
            <v>91</v>
          </cell>
          <cell r="C32" t="str">
            <v>CONCUSSION, CLOSED SKULL FX NOS,UNCOMPLICATED INTRACRANIAL INJURY, COMA &lt; 1 HR OR </v>
          </cell>
          <cell r="D32">
            <v>89</v>
          </cell>
          <cell r="E32">
            <v>2</v>
          </cell>
          <cell r="F32">
            <v>0</v>
          </cell>
          <cell r="G32">
            <v>0</v>
          </cell>
          <cell r="H32">
            <v>0</v>
          </cell>
          <cell r="I32">
            <v>91</v>
          </cell>
          <cell r="J32">
            <v>66</v>
          </cell>
          <cell r="K32">
            <v>25</v>
          </cell>
          <cell r="L32">
            <v>0</v>
          </cell>
          <cell r="M32">
            <v>91</v>
          </cell>
          <cell r="N32">
            <v>1.2</v>
          </cell>
          <cell r="O32">
            <v>11157.64</v>
          </cell>
          <cell r="P32">
            <v>8.2</v>
          </cell>
        </row>
        <row r="33">
          <cell r="A33">
            <v>89</v>
          </cell>
          <cell r="C33" t="str">
            <v>KNEE &amp; LOWER LEG PROCEDURES EXCEPT FOOT                                           </v>
          </cell>
          <cell r="D33">
            <v>82</v>
          </cell>
          <cell r="E33">
            <v>7</v>
          </cell>
          <cell r="F33">
            <v>0</v>
          </cell>
          <cell r="G33">
            <v>0</v>
          </cell>
          <cell r="H33">
            <v>0</v>
          </cell>
          <cell r="I33">
            <v>89</v>
          </cell>
          <cell r="J33">
            <v>56</v>
          </cell>
          <cell r="K33">
            <v>33</v>
          </cell>
          <cell r="L33">
            <v>0</v>
          </cell>
          <cell r="M33">
            <v>89</v>
          </cell>
          <cell r="N33">
            <v>3.6</v>
          </cell>
          <cell r="O33">
            <v>36435.7</v>
          </cell>
          <cell r="P33">
            <v>11.8</v>
          </cell>
        </row>
        <row r="34">
          <cell r="A34">
            <v>87.001</v>
          </cell>
          <cell r="C34" t="str">
            <v>KIDNEY &amp; URINARY TRACT PROCEDURES FOR NONMALIGNANCY                               </v>
          </cell>
          <cell r="D34">
            <v>81</v>
          </cell>
          <cell r="E34">
            <v>5</v>
          </cell>
          <cell r="F34">
            <v>1</v>
          </cell>
          <cell r="G34">
            <v>0</v>
          </cell>
          <cell r="H34">
            <v>0</v>
          </cell>
          <cell r="I34">
            <v>87</v>
          </cell>
          <cell r="J34">
            <v>34</v>
          </cell>
          <cell r="K34">
            <v>53</v>
          </cell>
          <cell r="L34">
            <v>0</v>
          </cell>
          <cell r="M34">
            <v>87</v>
          </cell>
          <cell r="N34">
            <v>2.9</v>
          </cell>
          <cell r="O34">
            <v>29012.93</v>
          </cell>
          <cell r="P34">
            <v>6.4</v>
          </cell>
        </row>
        <row r="35">
          <cell r="A35">
            <v>87.001</v>
          </cell>
          <cell r="C35" t="str">
            <v>RESPIRATORY SIGNS, SYMPTOMS &amp; MINOR DIAGNOSES                                     </v>
          </cell>
          <cell r="D35">
            <v>85</v>
          </cell>
          <cell r="E35">
            <v>2</v>
          </cell>
          <cell r="F35">
            <v>0</v>
          </cell>
          <cell r="G35">
            <v>0</v>
          </cell>
          <cell r="H35">
            <v>0</v>
          </cell>
          <cell r="I35">
            <v>87</v>
          </cell>
          <cell r="J35">
            <v>51</v>
          </cell>
          <cell r="K35">
            <v>36</v>
          </cell>
          <cell r="L35">
            <v>0</v>
          </cell>
          <cell r="M35">
            <v>87</v>
          </cell>
          <cell r="N35">
            <v>3.2</v>
          </cell>
          <cell r="O35">
            <v>28379.95</v>
          </cell>
          <cell r="P35">
            <v>4.1</v>
          </cell>
        </row>
        <row r="36">
          <cell r="A36">
            <v>87</v>
          </cell>
          <cell r="C36" t="str">
            <v>OTHER NERVOUS SYSTEM &amp; RELATED PROCEDURES                                         </v>
          </cell>
          <cell r="D36">
            <v>68</v>
          </cell>
          <cell r="E36">
            <v>19</v>
          </cell>
          <cell r="F36">
            <v>0</v>
          </cell>
          <cell r="G36">
            <v>0</v>
          </cell>
          <cell r="H36">
            <v>0</v>
          </cell>
          <cell r="I36">
            <v>87</v>
          </cell>
          <cell r="J36">
            <v>56</v>
          </cell>
          <cell r="K36">
            <v>31</v>
          </cell>
          <cell r="L36">
            <v>0</v>
          </cell>
          <cell r="M36">
            <v>87</v>
          </cell>
          <cell r="N36">
            <v>4</v>
          </cell>
          <cell r="O36">
            <v>39574.95</v>
          </cell>
          <cell r="P36">
            <v>12.2</v>
          </cell>
        </row>
        <row r="37">
          <cell r="A37">
            <v>85</v>
          </cell>
          <cell r="C37" t="str">
            <v>CONNECTIVE TISSUE DISORDERS                                                       </v>
          </cell>
          <cell r="D37">
            <v>76</v>
          </cell>
          <cell r="E37">
            <v>9</v>
          </cell>
          <cell r="F37">
            <v>0</v>
          </cell>
          <cell r="G37">
            <v>0</v>
          </cell>
          <cell r="H37">
            <v>0</v>
          </cell>
          <cell r="I37">
            <v>85</v>
          </cell>
          <cell r="J37">
            <v>32</v>
          </cell>
          <cell r="K37">
            <v>53</v>
          </cell>
          <cell r="L37">
            <v>0</v>
          </cell>
          <cell r="M37">
            <v>85</v>
          </cell>
          <cell r="N37">
            <v>4.1</v>
          </cell>
          <cell r="O37">
            <v>30054.02</v>
          </cell>
          <cell r="P37">
            <v>8.8</v>
          </cell>
        </row>
        <row r="38">
          <cell r="A38">
            <v>83</v>
          </cell>
          <cell r="C38" t="str">
            <v>MAJOR HEMATOLOGIC/IMMUNOLOGIC DIAG EXC SICKLE CELL CRISIS &amp; COAGUL                </v>
          </cell>
          <cell r="D38">
            <v>81</v>
          </cell>
          <cell r="E38">
            <v>2</v>
          </cell>
          <cell r="F38">
            <v>0</v>
          </cell>
          <cell r="G38">
            <v>0</v>
          </cell>
          <cell r="H38">
            <v>0</v>
          </cell>
          <cell r="I38">
            <v>83</v>
          </cell>
          <cell r="J38">
            <v>37</v>
          </cell>
          <cell r="K38">
            <v>46</v>
          </cell>
          <cell r="L38">
            <v>0</v>
          </cell>
          <cell r="M38">
            <v>83</v>
          </cell>
          <cell r="N38">
            <v>4.7</v>
          </cell>
          <cell r="O38">
            <v>37117.22</v>
          </cell>
          <cell r="P38">
            <v>7.5</v>
          </cell>
        </row>
        <row r="39">
          <cell r="A39">
            <v>81</v>
          </cell>
          <cell r="C39" t="str">
            <v>OTHER MUSCULOSKELETAL SYSTEM &amp; CONNECTIVE TISSUE DIAGNOSES                        </v>
          </cell>
          <cell r="D39">
            <v>76</v>
          </cell>
          <cell r="E39">
            <v>5</v>
          </cell>
          <cell r="F39">
            <v>0</v>
          </cell>
          <cell r="G39">
            <v>0</v>
          </cell>
          <cell r="H39">
            <v>0</v>
          </cell>
          <cell r="I39">
            <v>81</v>
          </cell>
          <cell r="J39">
            <v>53</v>
          </cell>
          <cell r="K39">
            <v>28</v>
          </cell>
          <cell r="L39">
            <v>0</v>
          </cell>
          <cell r="M39">
            <v>81</v>
          </cell>
          <cell r="N39">
            <v>2.5</v>
          </cell>
          <cell r="O39">
            <v>16879.79</v>
          </cell>
          <cell r="P39">
            <v>8</v>
          </cell>
        </row>
        <row r="40">
          <cell r="A40">
            <v>79</v>
          </cell>
          <cell r="C40" t="str">
            <v>NEONATE BIRTHWT &gt;2499G, NORMAL NEWBORN OR NEONATE W OTHER PROBLEM                 </v>
          </cell>
          <cell r="D40">
            <v>79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79</v>
          </cell>
          <cell r="J40">
            <v>45</v>
          </cell>
          <cell r="K40">
            <v>34</v>
          </cell>
          <cell r="L40">
            <v>0</v>
          </cell>
          <cell r="M40">
            <v>79</v>
          </cell>
          <cell r="N40">
            <v>2.4</v>
          </cell>
          <cell r="O40">
            <v>12413.04</v>
          </cell>
          <cell r="P40">
            <v>0</v>
          </cell>
        </row>
        <row r="41">
          <cell r="A41">
            <v>75</v>
          </cell>
          <cell r="C41" t="str">
            <v>MAJOR GASTROINTESTINAL &amp; PERITONEAL INFECTIONS                                    </v>
          </cell>
          <cell r="D41">
            <v>74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75</v>
          </cell>
          <cell r="J41">
            <v>47</v>
          </cell>
          <cell r="K41">
            <v>28</v>
          </cell>
          <cell r="L41">
            <v>0</v>
          </cell>
          <cell r="M41">
            <v>75</v>
          </cell>
          <cell r="N41">
            <v>6.1</v>
          </cell>
          <cell r="O41">
            <v>32710.33</v>
          </cell>
          <cell r="P41">
            <v>8.1</v>
          </cell>
        </row>
        <row r="42">
          <cell r="A42">
            <v>72</v>
          </cell>
          <cell r="C42" t="str">
            <v>BPD &amp; OTH CHRONIC RESPIRATORY DISEASES ARISING IN PERINATAL PERIOD                </v>
          </cell>
          <cell r="D42">
            <v>69</v>
          </cell>
          <cell r="E42">
            <v>3</v>
          </cell>
          <cell r="F42">
            <v>0</v>
          </cell>
          <cell r="G42">
            <v>0</v>
          </cell>
          <cell r="H42">
            <v>0</v>
          </cell>
          <cell r="I42">
            <v>72</v>
          </cell>
          <cell r="J42">
            <v>30</v>
          </cell>
          <cell r="K42">
            <v>42</v>
          </cell>
          <cell r="L42">
            <v>0</v>
          </cell>
          <cell r="M42">
            <v>72</v>
          </cell>
          <cell r="N42">
            <v>4.1</v>
          </cell>
          <cell r="O42">
            <v>32838.24</v>
          </cell>
          <cell r="P42">
            <v>2.2</v>
          </cell>
        </row>
        <row r="43">
          <cell r="A43">
            <v>69</v>
          </cell>
          <cell r="C43" t="str">
            <v>MAJOR RESPIRATORY INFECTIONS &amp; INFLAMMATIONS                                      </v>
          </cell>
          <cell r="D43">
            <v>65</v>
          </cell>
          <cell r="E43">
            <v>4</v>
          </cell>
          <cell r="F43">
            <v>0</v>
          </cell>
          <cell r="G43">
            <v>0</v>
          </cell>
          <cell r="H43">
            <v>0</v>
          </cell>
          <cell r="I43">
            <v>69</v>
          </cell>
          <cell r="J43">
            <v>34</v>
          </cell>
          <cell r="K43">
            <v>35</v>
          </cell>
          <cell r="L43">
            <v>0</v>
          </cell>
          <cell r="M43">
            <v>69</v>
          </cell>
          <cell r="N43">
            <v>5.9</v>
          </cell>
          <cell r="O43">
            <v>39008.59</v>
          </cell>
          <cell r="P43">
            <v>5.8</v>
          </cell>
        </row>
        <row r="44">
          <cell r="A44">
            <v>68</v>
          </cell>
          <cell r="C44" t="str">
            <v>VIRAL MENINGITIS                                                                  </v>
          </cell>
          <cell r="D44">
            <v>67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68</v>
          </cell>
          <cell r="J44">
            <v>35</v>
          </cell>
          <cell r="K44">
            <v>33</v>
          </cell>
          <cell r="L44">
            <v>0</v>
          </cell>
          <cell r="M44">
            <v>68</v>
          </cell>
          <cell r="N44">
            <v>2.2</v>
          </cell>
          <cell r="O44">
            <v>13003.04</v>
          </cell>
          <cell r="P44">
            <v>3.9</v>
          </cell>
        </row>
        <row r="45">
          <cell r="A45">
            <v>67</v>
          </cell>
          <cell r="C45" t="str">
            <v>RESPIRATORY SYSTEM DIAGNOSIS W VENTILATOR SUPPORT 96+ HOURS                       </v>
          </cell>
          <cell r="D45">
            <v>65</v>
          </cell>
          <cell r="E45">
            <v>2</v>
          </cell>
          <cell r="F45">
            <v>0</v>
          </cell>
          <cell r="G45">
            <v>0</v>
          </cell>
          <cell r="H45">
            <v>0</v>
          </cell>
          <cell r="I45">
            <v>67</v>
          </cell>
          <cell r="J45">
            <v>37</v>
          </cell>
          <cell r="K45">
            <v>30</v>
          </cell>
          <cell r="L45">
            <v>0</v>
          </cell>
          <cell r="M45">
            <v>67</v>
          </cell>
          <cell r="N45">
            <v>12.6</v>
          </cell>
          <cell r="O45">
            <v>121714.22</v>
          </cell>
          <cell r="P45">
            <v>4.8</v>
          </cell>
        </row>
        <row r="46">
          <cell r="A46">
            <v>66</v>
          </cell>
          <cell r="C46" t="str">
            <v>POST-OPERATIVE, POST-TRAUMATIC, OTHER DEVICE INFECTIONS                           </v>
          </cell>
          <cell r="D46">
            <v>64</v>
          </cell>
          <cell r="E46">
            <v>2</v>
          </cell>
          <cell r="F46">
            <v>0</v>
          </cell>
          <cell r="G46">
            <v>0</v>
          </cell>
          <cell r="H46">
            <v>0</v>
          </cell>
          <cell r="I46">
            <v>66</v>
          </cell>
          <cell r="J46">
            <v>41</v>
          </cell>
          <cell r="K46">
            <v>25</v>
          </cell>
          <cell r="L46">
            <v>0</v>
          </cell>
          <cell r="M46">
            <v>66</v>
          </cell>
          <cell r="N46">
            <v>9.5</v>
          </cell>
          <cell r="O46">
            <v>50307.29</v>
          </cell>
          <cell r="P46">
            <v>6.2</v>
          </cell>
        </row>
        <row r="47">
          <cell r="A47">
            <v>63</v>
          </cell>
          <cell r="C47" t="str">
            <v>INTESTINAL OBSTRUCTION                                                            </v>
          </cell>
          <cell r="D47">
            <v>60</v>
          </cell>
          <cell r="E47">
            <v>3</v>
          </cell>
          <cell r="F47">
            <v>0</v>
          </cell>
          <cell r="G47">
            <v>0</v>
          </cell>
          <cell r="H47">
            <v>0</v>
          </cell>
          <cell r="I47">
            <v>63</v>
          </cell>
          <cell r="J47">
            <v>36</v>
          </cell>
          <cell r="K47">
            <v>27</v>
          </cell>
          <cell r="L47">
            <v>0</v>
          </cell>
          <cell r="M47">
            <v>63</v>
          </cell>
          <cell r="N47">
            <v>2.6</v>
          </cell>
          <cell r="O47">
            <v>13615.49</v>
          </cell>
          <cell r="P47">
            <v>7.1</v>
          </cell>
        </row>
        <row r="48">
          <cell r="A48">
            <v>61.001</v>
          </cell>
          <cell r="C48" t="str">
            <v>COAGULATION &amp; PLATELET DISORDERS                                                  </v>
          </cell>
          <cell r="D48">
            <v>58</v>
          </cell>
          <cell r="E48">
            <v>3</v>
          </cell>
          <cell r="F48">
            <v>0</v>
          </cell>
          <cell r="G48">
            <v>0</v>
          </cell>
          <cell r="H48">
            <v>0</v>
          </cell>
          <cell r="I48">
            <v>61</v>
          </cell>
          <cell r="J48">
            <v>37</v>
          </cell>
          <cell r="K48">
            <v>24</v>
          </cell>
          <cell r="L48">
            <v>0</v>
          </cell>
          <cell r="M48">
            <v>61</v>
          </cell>
          <cell r="N48">
            <v>2.4</v>
          </cell>
          <cell r="O48">
            <v>23164.56</v>
          </cell>
          <cell r="P48">
            <v>9.5</v>
          </cell>
        </row>
        <row r="49">
          <cell r="A49">
            <v>61</v>
          </cell>
          <cell r="C49" t="str">
            <v>OTHER SKIN, SUBCUTANEOUS TISSUE &amp; BREAST DISORDERS                                </v>
          </cell>
          <cell r="D49">
            <v>59</v>
          </cell>
          <cell r="E49">
            <v>2</v>
          </cell>
          <cell r="F49">
            <v>0</v>
          </cell>
          <cell r="G49">
            <v>0</v>
          </cell>
          <cell r="H49">
            <v>0</v>
          </cell>
          <cell r="I49">
            <v>61</v>
          </cell>
          <cell r="J49">
            <v>25</v>
          </cell>
          <cell r="K49">
            <v>36</v>
          </cell>
          <cell r="L49">
            <v>0</v>
          </cell>
          <cell r="M49">
            <v>61</v>
          </cell>
          <cell r="N49">
            <v>2</v>
          </cell>
          <cell r="O49">
            <v>10661.87</v>
          </cell>
          <cell r="P49">
            <v>6.1</v>
          </cell>
        </row>
        <row r="50">
          <cell r="A50">
            <v>60.001</v>
          </cell>
          <cell r="C50" t="str">
            <v>SHOULDER, UPPER ARM  &amp; FOREARM PROCEDURES                                         </v>
          </cell>
          <cell r="D50">
            <v>60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60</v>
          </cell>
          <cell r="J50">
            <v>37</v>
          </cell>
          <cell r="K50">
            <v>23</v>
          </cell>
          <cell r="L50">
            <v>0</v>
          </cell>
          <cell r="M50">
            <v>60</v>
          </cell>
          <cell r="N50">
            <v>1.9</v>
          </cell>
          <cell r="O50">
            <v>18653.55</v>
          </cell>
          <cell r="P50">
            <v>8.4</v>
          </cell>
        </row>
        <row r="51">
          <cell r="A51">
            <v>60.001</v>
          </cell>
          <cell r="C51" t="str">
            <v>OTHER STOMACH, ESOPHAGEAL &amp; DUODENAL PROCEDURES                                   </v>
          </cell>
          <cell r="D51">
            <v>59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60</v>
          </cell>
          <cell r="J51">
            <v>39</v>
          </cell>
          <cell r="K51">
            <v>21</v>
          </cell>
          <cell r="L51">
            <v>0</v>
          </cell>
          <cell r="M51">
            <v>60</v>
          </cell>
          <cell r="N51">
            <v>4.4</v>
          </cell>
          <cell r="O51">
            <v>28048.03</v>
          </cell>
          <cell r="P51">
            <v>1.2</v>
          </cell>
        </row>
        <row r="52">
          <cell r="A52">
            <v>60</v>
          </cell>
          <cell r="C52" t="str">
            <v>CRANIOTOMY EXCEPT FOR TRAUMA                                                      </v>
          </cell>
          <cell r="D52">
            <v>59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60</v>
          </cell>
          <cell r="J52">
            <v>31</v>
          </cell>
          <cell r="K52">
            <v>29</v>
          </cell>
          <cell r="L52">
            <v>0</v>
          </cell>
          <cell r="M52">
            <v>60</v>
          </cell>
          <cell r="N52">
            <v>12.3</v>
          </cell>
          <cell r="O52">
            <v>107712.55</v>
          </cell>
          <cell r="P52">
            <v>6.3</v>
          </cell>
        </row>
        <row r="53">
          <cell r="A53">
            <v>55</v>
          </cell>
          <cell r="C53" t="str">
            <v>OTHER MUSCULOSKELETAL SYSTEM &amp; CONNECTIVE TISSUE PROCEDURES                       </v>
          </cell>
          <cell r="D53">
            <v>50</v>
          </cell>
          <cell r="E53">
            <v>5</v>
          </cell>
          <cell r="F53">
            <v>0</v>
          </cell>
          <cell r="G53">
            <v>0</v>
          </cell>
          <cell r="H53">
            <v>0</v>
          </cell>
          <cell r="I53">
            <v>55</v>
          </cell>
          <cell r="J53">
            <v>24</v>
          </cell>
          <cell r="K53">
            <v>31</v>
          </cell>
          <cell r="L53">
            <v>0</v>
          </cell>
          <cell r="M53">
            <v>55</v>
          </cell>
          <cell r="N53">
            <v>3</v>
          </cell>
          <cell r="O53">
            <v>32403.27</v>
          </cell>
          <cell r="P53">
            <v>10.9</v>
          </cell>
        </row>
        <row r="54">
          <cell r="A54">
            <v>53</v>
          </cell>
          <cell r="C54" t="str">
            <v>OTHER RESPIRATORY DIAGNOSES EXCEPT SIGNS, SYMPTOMS &amp; MINOR DIAGNOSES              </v>
          </cell>
          <cell r="D54">
            <v>49</v>
          </cell>
          <cell r="E54">
            <v>4</v>
          </cell>
          <cell r="F54">
            <v>0</v>
          </cell>
          <cell r="G54">
            <v>0</v>
          </cell>
          <cell r="H54">
            <v>0</v>
          </cell>
          <cell r="I54">
            <v>53</v>
          </cell>
          <cell r="J54">
            <v>30</v>
          </cell>
          <cell r="K54">
            <v>23</v>
          </cell>
          <cell r="L54">
            <v>0</v>
          </cell>
          <cell r="M54">
            <v>53</v>
          </cell>
          <cell r="N54">
            <v>2.7</v>
          </cell>
          <cell r="O54">
            <v>19972.89</v>
          </cell>
          <cell r="P54">
            <v>5</v>
          </cell>
        </row>
        <row r="55">
          <cell r="A55">
            <v>52</v>
          </cell>
          <cell r="C55" t="str">
            <v>DENTAL &amp; ORAL DISEASES &amp; INJURIES                                                 </v>
          </cell>
          <cell r="D55">
            <v>50</v>
          </cell>
          <cell r="E55">
            <v>2</v>
          </cell>
          <cell r="F55">
            <v>0</v>
          </cell>
          <cell r="G55">
            <v>0</v>
          </cell>
          <cell r="H55">
            <v>0</v>
          </cell>
          <cell r="I55">
            <v>52</v>
          </cell>
          <cell r="J55">
            <v>22</v>
          </cell>
          <cell r="K55">
            <v>30</v>
          </cell>
          <cell r="L55">
            <v>0</v>
          </cell>
          <cell r="M55">
            <v>52</v>
          </cell>
          <cell r="N55">
            <v>2.5</v>
          </cell>
          <cell r="O55">
            <v>15164.38</v>
          </cell>
          <cell r="P55">
            <v>7.5</v>
          </cell>
        </row>
        <row r="56">
          <cell r="A56">
            <v>51.001</v>
          </cell>
          <cell r="C56" t="str">
            <v>OTHER EAR, NOSE, MOUTH &amp; THROAT PROCEDURES                                        </v>
          </cell>
          <cell r="D56">
            <v>51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51</v>
          </cell>
          <cell r="J56">
            <v>24</v>
          </cell>
          <cell r="K56">
            <v>27</v>
          </cell>
          <cell r="L56">
            <v>0</v>
          </cell>
          <cell r="M56">
            <v>51</v>
          </cell>
          <cell r="N56">
            <v>7</v>
          </cell>
          <cell r="O56">
            <v>57888.96</v>
          </cell>
          <cell r="P56">
            <v>3.5</v>
          </cell>
        </row>
        <row r="57">
          <cell r="A57">
            <v>51</v>
          </cell>
          <cell r="C57" t="str">
            <v>OTHER DISORDERS OF NERVOUS SYSTEM                                                 </v>
          </cell>
          <cell r="D57">
            <v>47</v>
          </cell>
          <cell r="E57">
            <v>4</v>
          </cell>
          <cell r="F57">
            <v>0</v>
          </cell>
          <cell r="G57">
            <v>0</v>
          </cell>
          <cell r="H57">
            <v>0</v>
          </cell>
          <cell r="I57">
            <v>51</v>
          </cell>
          <cell r="J57">
            <v>21</v>
          </cell>
          <cell r="K57">
            <v>30</v>
          </cell>
          <cell r="L57">
            <v>0</v>
          </cell>
          <cell r="M57">
            <v>51</v>
          </cell>
          <cell r="N57">
            <v>3.2</v>
          </cell>
          <cell r="O57">
            <v>22698.75</v>
          </cell>
          <cell r="P57">
            <v>7.3</v>
          </cell>
        </row>
        <row r="58">
          <cell r="A58">
            <v>50</v>
          </cell>
          <cell r="C58" t="str">
            <v>FOOT &amp; TOE PROCEDURES                                                             </v>
          </cell>
          <cell r="D58">
            <v>44</v>
          </cell>
          <cell r="E58">
            <v>6</v>
          </cell>
          <cell r="F58">
            <v>0</v>
          </cell>
          <cell r="G58">
            <v>0</v>
          </cell>
          <cell r="H58">
            <v>0</v>
          </cell>
          <cell r="I58">
            <v>50</v>
          </cell>
          <cell r="J58">
            <v>27</v>
          </cell>
          <cell r="K58">
            <v>23</v>
          </cell>
          <cell r="L58">
            <v>0</v>
          </cell>
          <cell r="M58">
            <v>50</v>
          </cell>
          <cell r="N58">
            <v>2.8</v>
          </cell>
          <cell r="O58">
            <v>28868.08</v>
          </cell>
          <cell r="P58">
            <v>12.5</v>
          </cell>
        </row>
        <row r="59">
          <cell r="A59">
            <v>49</v>
          </cell>
          <cell r="C59" t="str">
            <v>INFLAMMATORY BOWEL DISEASE                                                        </v>
          </cell>
          <cell r="D59">
            <v>44</v>
          </cell>
          <cell r="E59">
            <v>5</v>
          </cell>
          <cell r="F59">
            <v>0</v>
          </cell>
          <cell r="G59">
            <v>0</v>
          </cell>
          <cell r="H59">
            <v>0</v>
          </cell>
          <cell r="I59">
            <v>49</v>
          </cell>
          <cell r="J59">
            <v>23</v>
          </cell>
          <cell r="K59">
            <v>26</v>
          </cell>
          <cell r="L59">
            <v>0</v>
          </cell>
          <cell r="M59">
            <v>49</v>
          </cell>
          <cell r="N59">
            <v>5.4</v>
          </cell>
          <cell r="O59">
            <v>31808.69</v>
          </cell>
          <cell r="P59">
            <v>12.7</v>
          </cell>
        </row>
        <row r="60">
          <cell r="A60">
            <v>48</v>
          </cell>
          <cell r="C60" t="str">
            <v>UNGROUPABLE                                                                       </v>
          </cell>
          <cell r="D60">
            <v>2</v>
          </cell>
          <cell r="E60">
            <v>0</v>
          </cell>
          <cell r="F60">
            <v>0</v>
          </cell>
          <cell r="G60">
            <v>0</v>
          </cell>
          <cell r="H60">
            <v>46</v>
          </cell>
          <cell r="I60">
            <v>48</v>
          </cell>
          <cell r="J60">
            <v>20</v>
          </cell>
          <cell r="K60">
            <v>28</v>
          </cell>
          <cell r="L60">
            <v>0</v>
          </cell>
          <cell r="M60">
            <v>48</v>
          </cell>
          <cell r="N60">
            <v>48.5</v>
          </cell>
          <cell r="O60">
            <v>33127.29</v>
          </cell>
          <cell r="P60">
            <v>0</v>
          </cell>
        </row>
        <row r="61">
          <cell r="A61">
            <v>46.001</v>
          </cell>
          <cell r="C61" t="str">
            <v>FRACTURES &amp; DISLOCATIONS EXCEPT FEMUR, PELVIS &amp; BACK                              </v>
          </cell>
          <cell r="D61">
            <v>45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46</v>
          </cell>
          <cell r="J61">
            <v>30</v>
          </cell>
          <cell r="K61">
            <v>16</v>
          </cell>
          <cell r="L61">
            <v>0</v>
          </cell>
          <cell r="M61">
            <v>46</v>
          </cell>
          <cell r="N61">
            <v>1.5</v>
          </cell>
          <cell r="O61">
            <v>8394.57</v>
          </cell>
          <cell r="P61">
            <v>8.3</v>
          </cell>
        </row>
        <row r="62">
          <cell r="A62">
            <v>46.001</v>
          </cell>
          <cell r="C62" t="str">
            <v>MAJOR CARDIOTHORACIC REPAIR OF HEART ANOMALY                                      </v>
          </cell>
          <cell r="D62">
            <v>46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46</v>
          </cell>
          <cell r="J62">
            <v>26</v>
          </cell>
          <cell r="K62">
            <v>20</v>
          </cell>
          <cell r="L62">
            <v>0</v>
          </cell>
          <cell r="M62">
            <v>46</v>
          </cell>
          <cell r="N62">
            <v>12.5</v>
          </cell>
          <cell r="O62">
            <v>177516.3</v>
          </cell>
          <cell r="P62">
            <v>1</v>
          </cell>
        </row>
        <row r="63">
          <cell r="A63">
            <v>46</v>
          </cell>
          <cell r="C63" t="str">
            <v>HEAD TRAUMA W COMA &gt;1 HR OR HEMORRHAGE                                            </v>
          </cell>
          <cell r="D63">
            <v>46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46</v>
          </cell>
          <cell r="J63">
            <v>29</v>
          </cell>
          <cell r="K63">
            <v>17</v>
          </cell>
          <cell r="L63">
            <v>0</v>
          </cell>
          <cell r="M63">
            <v>46</v>
          </cell>
          <cell r="N63">
            <v>2</v>
          </cell>
          <cell r="O63">
            <v>16571.22</v>
          </cell>
          <cell r="P63">
            <v>4.6</v>
          </cell>
        </row>
        <row r="64">
          <cell r="A64">
            <v>45.001</v>
          </cell>
          <cell r="C64" t="str">
            <v>OTHER INFECTIOUS &amp; PARASITIC DISEASES                                             </v>
          </cell>
          <cell r="D64">
            <v>44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45</v>
          </cell>
          <cell r="J64">
            <v>25</v>
          </cell>
          <cell r="K64">
            <v>20</v>
          </cell>
          <cell r="L64">
            <v>0</v>
          </cell>
          <cell r="M64">
            <v>45</v>
          </cell>
          <cell r="N64">
            <v>4.4</v>
          </cell>
          <cell r="O64">
            <v>24866.93</v>
          </cell>
          <cell r="P64">
            <v>6</v>
          </cell>
        </row>
        <row r="65">
          <cell r="A65">
            <v>45</v>
          </cell>
          <cell r="C65" t="str">
            <v>DISORDERS OF PANCREAS EXCEPT MALIGNANCY                                           </v>
          </cell>
          <cell r="D65">
            <v>40</v>
          </cell>
          <cell r="E65">
            <v>5</v>
          </cell>
          <cell r="F65">
            <v>0</v>
          </cell>
          <cell r="G65">
            <v>0</v>
          </cell>
          <cell r="H65">
            <v>0</v>
          </cell>
          <cell r="I65">
            <v>45</v>
          </cell>
          <cell r="J65">
            <v>13</v>
          </cell>
          <cell r="K65">
            <v>32</v>
          </cell>
          <cell r="L65">
            <v>0</v>
          </cell>
          <cell r="M65">
            <v>45</v>
          </cell>
          <cell r="N65">
            <v>4.3</v>
          </cell>
          <cell r="O65">
            <v>21024.96</v>
          </cell>
          <cell r="P65">
            <v>10.7</v>
          </cell>
        </row>
        <row r="66">
          <cell r="A66">
            <v>43</v>
          </cell>
          <cell r="C66" t="str">
            <v>TENDON, MUSCLE &amp; OTHER SOFT TISSUE PROCEDURES                                     </v>
          </cell>
          <cell r="D66">
            <v>37</v>
          </cell>
          <cell r="E66">
            <v>6</v>
          </cell>
          <cell r="F66">
            <v>0</v>
          </cell>
          <cell r="G66">
            <v>0</v>
          </cell>
          <cell r="H66">
            <v>0</v>
          </cell>
          <cell r="I66">
            <v>43</v>
          </cell>
          <cell r="J66">
            <v>23</v>
          </cell>
          <cell r="K66">
            <v>20</v>
          </cell>
          <cell r="L66">
            <v>0</v>
          </cell>
          <cell r="M66">
            <v>43</v>
          </cell>
          <cell r="N66">
            <v>2.6</v>
          </cell>
          <cell r="O66">
            <v>24094.12</v>
          </cell>
          <cell r="P66">
            <v>10.6</v>
          </cell>
        </row>
        <row r="67">
          <cell r="A67">
            <v>42</v>
          </cell>
          <cell r="C67" t="str">
            <v>MAJOR SMALL &amp; LARGE BOWEL PROCEDURES                                              </v>
          </cell>
          <cell r="D67">
            <v>41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42</v>
          </cell>
          <cell r="J67">
            <v>30</v>
          </cell>
          <cell r="K67">
            <v>12</v>
          </cell>
          <cell r="L67">
            <v>0</v>
          </cell>
          <cell r="M67">
            <v>42</v>
          </cell>
          <cell r="N67">
            <v>15.7</v>
          </cell>
          <cell r="O67">
            <v>102460.9</v>
          </cell>
          <cell r="P67">
            <v>5.1</v>
          </cell>
        </row>
        <row r="68">
          <cell r="A68">
            <v>41</v>
          </cell>
          <cell r="C68" t="str">
            <v>NEONATE BIRTHWT &gt;2499G W MAJOR ANOMALY                                            </v>
          </cell>
          <cell r="D68">
            <v>41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41</v>
          </cell>
          <cell r="J68">
            <v>25</v>
          </cell>
          <cell r="K68">
            <v>16</v>
          </cell>
          <cell r="L68">
            <v>0</v>
          </cell>
          <cell r="M68">
            <v>41</v>
          </cell>
          <cell r="N68">
            <v>17.3</v>
          </cell>
          <cell r="O68">
            <v>138525.34</v>
          </cell>
          <cell r="P68">
            <v>0</v>
          </cell>
        </row>
        <row r="69">
          <cell r="A69">
            <v>39</v>
          </cell>
          <cell r="C69" t="str">
            <v>SPINAL PROCEDURES                                                                 </v>
          </cell>
          <cell r="D69">
            <v>39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39</v>
          </cell>
          <cell r="J69">
            <v>13</v>
          </cell>
          <cell r="K69">
            <v>26</v>
          </cell>
          <cell r="L69">
            <v>0</v>
          </cell>
          <cell r="M69">
            <v>39</v>
          </cell>
          <cell r="N69">
            <v>16.2</v>
          </cell>
          <cell r="O69">
            <v>114246.44</v>
          </cell>
          <cell r="P69">
            <v>7.7</v>
          </cell>
        </row>
        <row r="70">
          <cell r="A70">
            <v>38.001</v>
          </cell>
          <cell r="C70" t="str">
            <v>ELECTROLYTE DISORDERS EXCEPT HYPOVOLEMIA RELATED                                  </v>
          </cell>
          <cell r="D70">
            <v>35</v>
          </cell>
          <cell r="E70">
            <v>3</v>
          </cell>
          <cell r="F70">
            <v>0</v>
          </cell>
          <cell r="G70">
            <v>0</v>
          </cell>
          <cell r="H70">
            <v>0</v>
          </cell>
          <cell r="I70">
            <v>38</v>
          </cell>
          <cell r="J70">
            <v>20</v>
          </cell>
          <cell r="K70">
            <v>18</v>
          </cell>
          <cell r="L70">
            <v>0</v>
          </cell>
          <cell r="M70">
            <v>38</v>
          </cell>
          <cell r="N70">
            <v>5.4</v>
          </cell>
          <cell r="O70">
            <v>31850.13</v>
          </cell>
          <cell r="P70">
            <v>6.7</v>
          </cell>
        </row>
        <row r="71">
          <cell r="A71">
            <v>38</v>
          </cell>
          <cell r="C71" t="str">
            <v>CARDIAC ARRHYTHMIA &amp; CONDUCTION DISORDERS                                         </v>
          </cell>
          <cell r="D71">
            <v>37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38</v>
          </cell>
          <cell r="J71">
            <v>21</v>
          </cell>
          <cell r="K71">
            <v>17</v>
          </cell>
          <cell r="L71">
            <v>0</v>
          </cell>
          <cell r="M71">
            <v>38</v>
          </cell>
          <cell r="N71">
            <v>3.8</v>
          </cell>
          <cell r="O71">
            <v>21952.42</v>
          </cell>
          <cell r="P71">
            <v>9.8</v>
          </cell>
        </row>
        <row r="72">
          <cell r="A72">
            <v>37.001</v>
          </cell>
          <cell r="C72" t="str">
            <v>ALLERGIC REACTIONS                                                                </v>
          </cell>
          <cell r="D72">
            <v>36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37</v>
          </cell>
          <cell r="J72">
            <v>19</v>
          </cell>
          <cell r="K72">
            <v>18</v>
          </cell>
          <cell r="L72">
            <v>0</v>
          </cell>
          <cell r="M72">
            <v>37</v>
          </cell>
          <cell r="N72">
            <v>1.1</v>
          </cell>
          <cell r="O72">
            <v>6829.19</v>
          </cell>
          <cell r="P72">
            <v>6.4</v>
          </cell>
        </row>
        <row r="73">
          <cell r="A73">
            <v>37.001</v>
          </cell>
          <cell r="C73" t="str">
            <v>OTHER CARDIOTHORACIC PROCEDURES                                                   </v>
          </cell>
          <cell r="D73">
            <v>37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37</v>
          </cell>
          <cell r="J73">
            <v>16</v>
          </cell>
          <cell r="K73">
            <v>21</v>
          </cell>
          <cell r="L73">
            <v>0</v>
          </cell>
          <cell r="M73">
            <v>37</v>
          </cell>
          <cell r="N73">
            <v>16.2</v>
          </cell>
          <cell r="O73">
            <v>186901.3</v>
          </cell>
          <cell r="P73">
            <v>2.5</v>
          </cell>
        </row>
        <row r="74">
          <cell r="A74">
            <v>37</v>
          </cell>
          <cell r="C74" t="str">
            <v>CYSTIC FIBROSIS - PULMONARY DISEASE                                               </v>
          </cell>
          <cell r="D74">
            <v>29</v>
          </cell>
          <cell r="E74">
            <v>8</v>
          </cell>
          <cell r="F74">
            <v>0</v>
          </cell>
          <cell r="G74">
            <v>0</v>
          </cell>
          <cell r="H74">
            <v>0</v>
          </cell>
          <cell r="I74">
            <v>37</v>
          </cell>
          <cell r="J74">
            <v>15</v>
          </cell>
          <cell r="K74">
            <v>22</v>
          </cell>
          <cell r="L74">
            <v>0</v>
          </cell>
          <cell r="M74">
            <v>37</v>
          </cell>
          <cell r="N74">
            <v>9.1</v>
          </cell>
          <cell r="O74">
            <v>73378.46</v>
          </cell>
          <cell r="P74">
            <v>12.9</v>
          </cell>
        </row>
        <row r="75">
          <cell r="A75">
            <v>36</v>
          </cell>
          <cell r="C75" t="str">
            <v>OSTEOMYELITIS, SEPTIC ARTHRITIS &amp; OTHER MUSCULOSKELETAL INFECTIONS                </v>
          </cell>
          <cell r="D75">
            <v>34</v>
          </cell>
          <cell r="E75">
            <v>2</v>
          </cell>
          <cell r="F75">
            <v>0</v>
          </cell>
          <cell r="G75">
            <v>0</v>
          </cell>
          <cell r="H75">
            <v>0</v>
          </cell>
          <cell r="I75">
            <v>36</v>
          </cell>
          <cell r="J75">
            <v>14</v>
          </cell>
          <cell r="K75">
            <v>22</v>
          </cell>
          <cell r="L75">
            <v>0</v>
          </cell>
          <cell r="M75">
            <v>36</v>
          </cell>
          <cell r="N75">
            <v>6.4</v>
          </cell>
          <cell r="O75">
            <v>33630.28</v>
          </cell>
          <cell r="P75">
            <v>8</v>
          </cell>
        </row>
        <row r="76">
          <cell r="A76">
            <v>35.001</v>
          </cell>
          <cell r="C76" t="str">
            <v>NONEXTENSIVE PROCEDURE UNRELATED TO PRINCIPAL DIAGNOSIS                           </v>
          </cell>
          <cell r="D76">
            <v>34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35</v>
          </cell>
          <cell r="J76">
            <v>24</v>
          </cell>
          <cell r="K76">
            <v>11</v>
          </cell>
          <cell r="L76">
            <v>0</v>
          </cell>
          <cell r="M76">
            <v>35</v>
          </cell>
          <cell r="N76">
            <v>13.2</v>
          </cell>
          <cell r="O76">
            <v>122118.77</v>
          </cell>
          <cell r="P76">
            <v>4.5</v>
          </cell>
        </row>
        <row r="77">
          <cell r="A77">
            <v>35</v>
          </cell>
          <cell r="C77" t="str">
            <v>NEONATE BIRTHWT &gt;2499G W OTHER MAJOR PROCEDURE                                    </v>
          </cell>
          <cell r="D77">
            <v>35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35</v>
          </cell>
          <cell r="J77">
            <v>19</v>
          </cell>
          <cell r="K77">
            <v>16</v>
          </cell>
          <cell r="L77">
            <v>0</v>
          </cell>
          <cell r="M77">
            <v>35</v>
          </cell>
          <cell r="N77">
            <v>43.6</v>
          </cell>
          <cell r="O77">
            <v>336082.06</v>
          </cell>
          <cell r="P77">
            <v>0</v>
          </cell>
        </row>
        <row r="78">
          <cell r="A78">
            <v>34.001</v>
          </cell>
          <cell r="C78" t="str">
            <v>PEPTIC ULCER &amp; GASTRITIS                                                          </v>
          </cell>
          <cell r="D78">
            <v>33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34</v>
          </cell>
          <cell r="J78">
            <v>17</v>
          </cell>
          <cell r="K78">
            <v>17</v>
          </cell>
          <cell r="L78">
            <v>0</v>
          </cell>
          <cell r="M78">
            <v>34</v>
          </cell>
          <cell r="N78">
            <v>3.7</v>
          </cell>
          <cell r="O78">
            <v>17932.68</v>
          </cell>
          <cell r="P78">
            <v>9.8</v>
          </cell>
        </row>
        <row r="79">
          <cell r="A79">
            <v>34.001</v>
          </cell>
          <cell r="C79" t="str">
            <v>OTHER RESPIRATORY &amp; CHEST PROCEDURES                                              </v>
          </cell>
          <cell r="D79">
            <v>32</v>
          </cell>
          <cell r="E79">
            <v>2</v>
          </cell>
          <cell r="F79">
            <v>0</v>
          </cell>
          <cell r="G79">
            <v>0</v>
          </cell>
          <cell r="H79">
            <v>0</v>
          </cell>
          <cell r="I79">
            <v>34</v>
          </cell>
          <cell r="J79">
            <v>26</v>
          </cell>
          <cell r="K79">
            <v>8</v>
          </cell>
          <cell r="L79">
            <v>0</v>
          </cell>
          <cell r="M79">
            <v>34</v>
          </cell>
          <cell r="N79">
            <v>28.7</v>
          </cell>
          <cell r="O79">
            <v>278517</v>
          </cell>
          <cell r="P79">
            <v>8.7</v>
          </cell>
        </row>
        <row r="80">
          <cell r="A80">
            <v>34</v>
          </cell>
          <cell r="C80" t="str">
            <v>VENTRICULAR SHUNT PROCEDURES                                                      </v>
          </cell>
          <cell r="D80">
            <v>32</v>
          </cell>
          <cell r="E80">
            <v>2</v>
          </cell>
          <cell r="F80">
            <v>0</v>
          </cell>
          <cell r="G80">
            <v>0</v>
          </cell>
          <cell r="H80">
            <v>0</v>
          </cell>
          <cell r="I80">
            <v>34</v>
          </cell>
          <cell r="J80">
            <v>28</v>
          </cell>
          <cell r="K80">
            <v>6</v>
          </cell>
          <cell r="L80">
            <v>0</v>
          </cell>
          <cell r="M80">
            <v>34</v>
          </cell>
          <cell r="N80">
            <v>4.8</v>
          </cell>
          <cell r="O80">
            <v>42528.35</v>
          </cell>
          <cell r="P80">
            <v>9.1</v>
          </cell>
        </row>
        <row r="81">
          <cell r="A81">
            <v>33</v>
          </cell>
          <cell r="C81" t="str">
            <v>OTHER VASCULAR PROCEDURES                                                         </v>
          </cell>
          <cell r="D81">
            <v>31</v>
          </cell>
          <cell r="E81">
            <v>2</v>
          </cell>
          <cell r="F81">
            <v>0</v>
          </cell>
          <cell r="G81">
            <v>0</v>
          </cell>
          <cell r="H81">
            <v>0</v>
          </cell>
          <cell r="I81">
            <v>33</v>
          </cell>
          <cell r="J81">
            <v>14</v>
          </cell>
          <cell r="K81">
            <v>19</v>
          </cell>
          <cell r="L81">
            <v>0</v>
          </cell>
          <cell r="M81">
            <v>33</v>
          </cell>
          <cell r="N81">
            <v>8</v>
          </cell>
          <cell r="O81">
            <v>107425.52</v>
          </cell>
          <cell r="P81">
            <v>2.6</v>
          </cell>
        </row>
        <row r="82">
          <cell r="A82">
            <v>32.001</v>
          </cell>
          <cell r="C82" t="str">
            <v>NEPHRITIS &amp; NEPHROSIS                                                             </v>
          </cell>
          <cell r="D82">
            <v>31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32</v>
          </cell>
          <cell r="J82">
            <v>25</v>
          </cell>
          <cell r="K82">
            <v>7</v>
          </cell>
          <cell r="L82">
            <v>0</v>
          </cell>
          <cell r="M82">
            <v>32</v>
          </cell>
          <cell r="N82">
            <v>2.3</v>
          </cell>
          <cell r="O82">
            <v>12156.47</v>
          </cell>
          <cell r="P82">
            <v>7</v>
          </cell>
        </row>
        <row r="83">
          <cell r="A83">
            <v>32</v>
          </cell>
          <cell r="C83" t="str">
            <v>DISORDERS OF GALLBLADDER &amp; BILIARY TRACT                                          </v>
          </cell>
          <cell r="D83">
            <v>31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32</v>
          </cell>
          <cell r="J83">
            <v>13</v>
          </cell>
          <cell r="K83">
            <v>19</v>
          </cell>
          <cell r="L83">
            <v>0</v>
          </cell>
          <cell r="M83">
            <v>32</v>
          </cell>
          <cell r="N83">
            <v>9.4</v>
          </cell>
          <cell r="O83">
            <v>41512.34</v>
          </cell>
          <cell r="P83">
            <v>6.2</v>
          </cell>
        </row>
        <row r="84">
          <cell r="A84">
            <v>31</v>
          </cell>
          <cell r="C84" t="str">
            <v>NEONATE BIRTHWT &gt;2499G W OTHER SIGNIFICANT CONDITION                              </v>
          </cell>
          <cell r="D84">
            <v>31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31</v>
          </cell>
          <cell r="J84">
            <v>12</v>
          </cell>
          <cell r="K84">
            <v>19</v>
          </cell>
          <cell r="L84">
            <v>0</v>
          </cell>
          <cell r="M84">
            <v>31</v>
          </cell>
          <cell r="N84">
            <v>2.8</v>
          </cell>
          <cell r="O84">
            <v>19106.65</v>
          </cell>
          <cell r="P84">
            <v>0</v>
          </cell>
        </row>
        <row r="85">
          <cell r="A85">
            <v>30.001</v>
          </cell>
          <cell r="C85" t="str">
            <v>OTHER DISORDERS OF THE LIVER                                                      </v>
          </cell>
          <cell r="D85">
            <v>30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30</v>
          </cell>
          <cell r="J85">
            <v>14</v>
          </cell>
          <cell r="K85">
            <v>16</v>
          </cell>
          <cell r="L85">
            <v>0</v>
          </cell>
          <cell r="M85">
            <v>30</v>
          </cell>
          <cell r="N85">
            <v>5.9</v>
          </cell>
          <cell r="O85">
            <v>32865.47</v>
          </cell>
          <cell r="P85">
            <v>5</v>
          </cell>
        </row>
        <row r="86">
          <cell r="A86">
            <v>30</v>
          </cell>
          <cell r="C86" t="str">
            <v>CLEFT LIP &amp; PALATE REPAIR                                                         </v>
          </cell>
          <cell r="D86">
            <v>30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30</v>
          </cell>
          <cell r="J86">
            <v>17</v>
          </cell>
          <cell r="K86">
            <v>13</v>
          </cell>
          <cell r="L86">
            <v>0</v>
          </cell>
          <cell r="M86">
            <v>30</v>
          </cell>
          <cell r="N86">
            <v>1.6</v>
          </cell>
          <cell r="O86">
            <v>31004.87</v>
          </cell>
          <cell r="P86">
            <v>2.1</v>
          </cell>
        </row>
        <row r="87">
          <cell r="A87">
            <v>29</v>
          </cell>
          <cell r="C87" t="str">
            <v>OTHER INJURY, POISONING &amp; TOXIC EFFECT DIAGNOSES                                  </v>
          </cell>
          <cell r="D87">
            <v>29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29</v>
          </cell>
          <cell r="J87">
            <v>16</v>
          </cell>
          <cell r="K87">
            <v>13</v>
          </cell>
          <cell r="L87">
            <v>0</v>
          </cell>
          <cell r="M87">
            <v>29</v>
          </cell>
          <cell r="N87">
            <v>8.6</v>
          </cell>
          <cell r="O87">
            <v>56808.9</v>
          </cell>
          <cell r="P87">
            <v>3.1</v>
          </cell>
        </row>
        <row r="88">
          <cell r="A88">
            <v>28.001</v>
          </cell>
          <cell r="C88" t="str">
            <v>MODERATELY EXTENSIVE PROCEDURE UNRELATED TO PRINCIPAL DIAGNOSIS                   </v>
          </cell>
          <cell r="D88">
            <v>27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28</v>
          </cell>
          <cell r="J88">
            <v>10</v>
          </cell>
          <cell r="K88">
            <v>18</v>
          </cell>
          <cell r="L88">
            <v>0</v>
          </cell>
          <cell r="M88">
            <v>28</v>
          </cell>
          <cell r="N88">
            <v>12.2</v>
          </cell>
          <cell r="O88">
            <v>94861.07</v>
          </cell>
          <cell r="P88">
            <v>7.5</v>
          </cell>
        </row>
        <row r="89">
          <cell r="A89">
            <v>28.001</v>
          </cell>
          <cell r="C89" t="str">
            <v>NEONATE BIRTHWT &gt;2499G W MAJOR CARDIOVASCULAR PROCEDURE                           </v>
          </cell>
          <cell r="D89">
            <v>28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28</v>
          </cell>
          <cell r="J89">
            <v>14</v>
          </cell>
          <cell r="K89">
            <v>14</v>
          </cell>
          <cell r="L89">
            <v>0</v>
          </cell>
          <cell r="M89">
            <v>28</v>
          </cell>
          <cell r="N89">
            <v>40.5</v>
          </cell>
          <cell r="O89">
            <v>476905.54</v>
          </cell>
          <cell r="P89">
            <v>0</v>
          </cell>
        </row>
        <row r="90">
          <cell r="A90">
            <v>28</v>
          </cell>
          <cell r="C90" t="str">
            <v>CONTUSION, OPEN WOUND &amp; OTHER TRAUMA TO SKIN &amp; SUBCUTANEOUS TISSUE                </v>
          </cell>
          <cell r="D90">
            <v>28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28</v>
          </cell>
          <cell r="J90">
            <v>18</v>
          </cell>
          <cell r="K90">
            <v>10</v>
          </cell>
          <cell r="L90">
            <v>0</v>
          </cell>
          <cell r="M90">
            <v>28</v>
          </cell>
          <cell r="N90">
            <v>1.4</v>
          </cell>
          <cell r="O90">
            <v>12712.57</v>
          </cell>
          <cell r="P90">
            <v>7.5</v>
          </cell>
        </row>
        <row r="91">
          <cell r="A91">
            <v>26.4</v>
          </cell>
          <cell r="C91" t="str">
            <v>OTHER KIDNEY &amp; URINARY TRACT DIAGNOSES, SIGNS &amp; SYMPTOMS                          </v>
          </cell>
          <cell r="D91">
            <v>26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26</v>
          </cell>
          <cell r="J91">
            <v>16</v>
          </cell>
          <cell r="K91">
            <v>10</v>
          </cell>
          <cell r="L91">
            <v>0</v>
          </cell>
          <cell r="M91">
            <v>26</v>
          </cell>
          <cell r="N91">
            <v>3.2</v>
          </cell>
          <cell r="O91">
            <v>17004.77</v>
          </cell>
          <cell r="P91">
            <v>6.1</v>
          </cell>
        </row>
        <row r="92">
          <cell r="A92">
            <v>26.001</v>
          </cell>
          <cell r="C92" t="str">
            <v>URINARY STONES &amp; ACQUIRED UPPER URINARY TRACT OBSTRUCTION                         </v>
          </cell>
          <cell r="D92">
            <v>26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</v>
          </cell>
          <cell r="J92">
            <v>12</v>
          </cell>
          <cell r="K92">
            <v>14</v>
          </cell>
          <cell r="L92">
            <v>0</v>
          </cell>
          <cell r="M92">
            <v>26</v>
          </cell>
          <cell r="N92">
            <v>1.5</v>
          </cell>
          <cell r="O92">
            <v>12180.46</v>
          </cell>
          <cell r="P92">
            <v>10.6</v>
          </cell>
        </row>
        <row r="93">
          <cell r="A93">
            <v>26.001</v>
          </cell>
          <cell r="C93" t="str">
            <v>OTHER BACK &amp; NECK DISORDERS, FRACTURES &amp; INJURIES                                 </v>
          </cell>
          <cell r="D93">
            <v>26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26</v>
          </cell>
          <cell r="J93">
            <v>14</v>
          </cell>
          <cell r="K93">
            <v>12</v>
          </cell>
          <cell r="L93">
            <v>0</v>
          </cell>
          <cell r="M93">
            <v>26</v>
          </cell>
          <cell r="N93">
            <v>2.3</v>
          </cell>
          <cell r="O93">
            <v>14995.92</v>
          </cell>
          <cell r="P93">
            <v>11</v>
          </cell>
        </row>
        <row r="94">
          <cell r="A94">
            <v>26.001</v>
          </cell>
          <cell r="C94" t="str">
            <v>OTHER SMALL &amp; LARGE BOWEL PROCEDURES                                              </v>
          </cell>
          <cell r="D94">
            <v>26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26</v>
          </cell>
          <cell r="J94">
            <v>17</v>
          </cell>
          <cell r="K94">
            <v>9</v>
          </cell>
          <cell r="L94">
            <v>0</v>
          </cell>
          <cell r="M94">
            <v>26</v>
          </cell>
          <cell r="N94">
            <v>8</v>
          </cell>
          <cell r="O94">
            <v>59820.69</v>
          </cell>
          <cell r="P94">
            <v>7</v>
          </cell>
        </row>
        <row r="95">
          <cell r="A95">
            <v>26</v>
          </cell>
          <cell r="C95" t="str">
            <v>OTHER CIRCULATORY SYSTEM DIAGNOSES                                                </v>
          </cell>
          <cell r="D95">
            <v>26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26</v>
          </cell>
          <cell r="J95">
            <v>20</v>
          </cell>
          <cell r="K95">
            <v>6</v>
          </cell>
          <cell r="L95">
            <v>0</v>
          </cell>
          <cell r="M95">
            <v>26</v>
          </cell>
          <cell r="N95">
            <v>4.2</v>
          </cell>
          <cell r="O95">
            <v>35157.65</v>
          </cell>
          <cell r="P95">
            <v>3.9</v>
          </cell>
        </row>
        <row r="96">
          <cell r="A96">
            <v>25</v>
          </cell>
          <cell r="C96" t="str">
            <v>SYNCOPE &amp; COLLAPSE                                                                </v>
          </cell>
          <cell r="D96">
            <v>23</v>
          </cell>
          <cell r="E96">
            <v>2</v>
          </cell>
          <cell r="F96">
            <v>0</v>
          </cell>
          <cell r="G96">
            <v>0</v>
          </cell>
          <cell r="H96">
            <v>0</v>
          </cell>
          <cell r="I96">
            <v>25</v>
          </cell>
          <cell r="J96">
            <v>13</v>
          </cell>
          <cell r="K96">
            <v>12</v>
          </cell>
          <cell r="L96">
            <v>0</v>
          </cell>
          <cell r="M96">
            <v>25</v>
          </cell>
          <cell r="N96">
            <v>1.5</v>
          </cell>
          <cell r="O96">
            <v>9152.76</v>
          </cell>
          <cell r="P96">
            <v>10.9</v>
          </cell>
        </row>
        <row r="97">
          <cell r="A97">
            <v>24.001</v>
          </cell>
          <cell r="C97" t="str">
            <v>OTHER COMPLICATIONS OF TREATMENT                                                  </v>
          </cell>
          <cell r="D97">
            <v>23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24</v>
          </cell>
          <cell r="J97">
            <v>15</v>
          </cell>
          <cell r="K97">
            <v>9</v>
          </cell>
          <cell r="L97">
            <v>0</v>
          </cell>
          <cell r="M97">
            <v>24</v>
          </cell>
          <cell r="N97">
            <v>4.1</v>
          </cell>
          <cell r="O97">
            <v>20392</v>
          </cell>
          <cell r="P97">
            <v>8.4</v>
          </cell>
        </row>
        <row r="98">
          <cell r="A98">
            <v>24</v>
          </cell>
          <cell r="C98" t="str">
            <v>CARDIAC VALVE PROCEDURES W/O CARDIAC CATHETERIZATION                              </v>
          </cell>
          <cell r="D98">
            <v>23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24</v>
          </cell>
          <cell r="J98">
            <v>14</v>
          </cell>
          <cell r="K98">
            <v>10</v>
          </cell>
          <cell r="L98">
            <v>0</v>
          </cell>
          <cell r="M98">
            <v>24</v>
          </cell>
          <cell r="N98">
            <v>13.1</v>
          </cell>
          <cell r="O98">
            <v>171658.88</v>
          </cell>
          <cell r="P98">
            <v>8</v>
          </cell>
        </row>
        <row r="99">
          <cell r="A99">
            <v>23</v>
          </cell>
          <cell r="C99" t="str">
            <v>HIP &amp; FEMUR PROCEDURES FOR TRAUMA EXCEPT JOINT REPLACEMENT                        </v>
          </cell>
          <cell r="D99">
            <v>22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23</v>
          </cell>
          <cell r="J99">
            <v>12</v>
          </cell>
          <cell r="K99">
            <v>11</v>
          </cell>
          <cell r="L99">
            <v>0</v>
          </cell>
          <cell r="M99">
            <v>23</v>
          </cell>
          <cell r="N99">
            <v>2.7</v>
          </cell>
          <cell r="O99">
            <v>30005.26</v>
          </cell>
          <cell r="P99">
            <v>10.4</v>
          </cell>
        </row>
        <row r="100">
          <cell r="A100">
            <v>22.001</v>
          </cell>
          <cell r="C100" t="str">
            <v>DORSAL &amp; LUMBAR FUSION PROC EXCEPT FOR CURVATURE OF BACK                          </v>
          </cell>
          <cell r="D100">
            <v>19</v>
          </cell>
          <cell r="E100">
            <v>3</v>
          </cell>
          <cell r="F100">
            <v>0</v>
          </cell>
          <cell r="G100">
            <v>0</v>
          </cell>
          <cell r="H100">
            <v>0</v>
          </cell>
          <cell r="I100">
            <v>22</v>
          </cell>
          <cell r="J100">
            <v>5</v>
          </cell>
          <cell r="K100">
            <v>17</v>
          </cell>
          <cell r="L100">
            <v>0</v>
          </cell>
          <cell r="M100">
            <v>22</v>
          </cell>
          <cell r="N100">
            <v>4.8</v>
          </cell>
          <cell r="O100">
            <v>96328.18</v>
          </cell>
          <cell r="P100">
            <v>13</v>
          </cell>
        </row>
        <row r="101">
          <cell r="A101">
            <v>22</v>
          </cell>
          <cell r="C101" t="str">
            <v>MAJOR CRANIAL/FACIAL BONE PROCEDURES                                              </v>
          </cell>
          <cell r="D101">
            <v>21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22</v>
          </cell>
          <cell r="J101">
            <v>10</v>
          </cell>
          <cell r="K101">
            <v>12</v>
          </cell>
          <cell r="L101">
            <v>0</v>
          </cell>
          <cell r="M101">
            <v>22</v>
          </cell>
          <cell r="N101">
            <v>4.5</v>
          </cell>
          <cell r="O101">
            <v>63740.23</v>
          </cell>
          <cell r="P101">
            <v>3</v>
          </cell>
        </row>
        <row r="102">
          <cell r="A102">
            <v>20.001</v>
          </cell>
          <cell r="C102" t="str">
            <v>SEPTICEMIA &amp; DISSEMINATED INFECTIONS                                              </v>
          </cell>
          <cell r="D102">
            <v>17</v>
          </cell>
          <cell r="E102">
            <v>3</v>
          </cell>
          <cell r="F102">
            <v>0</v>
          </cell>
          <cell r="G102">
            <v>0</v>
          </cell>
          <cell r="H102">
            <v>0</v>
          </cell>
          <cell r="I102">
            <v>20</v>
          </cell>
          <cell r="J102">
            <v>10</v>
          </cell>
          <cell r="K102">
            <v>10</v>
          </cell>
          <cell r="L102">
            <v>0</v>
          </cell>
          <cell r="M102">
            <v>20</v>
          </cell>
          <cell r="N102">
            <v>10.6</v>
          </cell>
          <cell r="O102">
            <v>80905.8</v>
          </cell>
          <cell r="P102">
            <v>9.7</v>
          </cell>
        </row>
        <row r="103">
          <cell r="A103">
            <v>20.001</v>
          </cell>
          <cell r="C103" t="str">
            <v>OTHER ENDOCRINE DISORDERS                                                         </v>
          </cell>
          <cell r="D103">
            <v>20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20</v>
          </cell>
          <cell r="J103">
            <v>10</v>
          </cell>
          <cell r="K103">
            <v>10</v>
          </cell>
          <cell r="L103">
            <v>0</v>
          </cell>
          <cell r="M103">
            <v>20</v>
          </cell>
          <cell r="N103">
            <v>2.8</v>
          </cell>
          <cell r="O103">
            <v>18657.75</v>
          </cell>
          <cell r="P103">
            <v>5.4</v>
          </cell>
        </row>
        <row r="104">
          <cell r="A104">
            <v>20</v>
          </cell>
          <cell r="C104" t="str">
            <v>MAJOR SKIN DISORDERS                                                              </v>
          </cell>
          <cell r="D104">
            <v>20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20</v>
          </cell>
          <cell r="J104">
            <v>11</v>
          </cell>
          <cell r="K104">
            <v>9</v>
          </cell>
          <cell r="L104">
            <v>0</v>
          </cell>
          <cell r="M104">
            <v>20</v>
          </cell>
          <cell r="N104">
            <v>3.7</v>
          </cell>
          <cell r="O104">
            <v>18967.6</v>
          </cell>
          <cell r="P104">
            <v>6.8</v>
          </cell>
        </row>
        <row r="105">
          <cell r="A105">
            <v>19.001</v>
          </cell>
          <cell r="C105" t="str">
            <v>FRACTURE OF FEMUR                                                                 </v>
          </cell>
          <cell r="D105">
            <v>19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19</v>
          </cell>
          <cell r="J105">
            <v>12</v>
          </cell>
          <cell r="K105">
            <v>7</v>
          </cell>
          <cell r="L105">
            <v>0</v>
          </cell>
          <cell r="M105">
            <v>19</v>
          </cell>
          <cell r="N105">
            <v>1.6</v>
          </cell>
          <cell r="O105">
            <v>12290.74</v>
          </cell>
          <cell r="P105">
            <v>4.7</v>
          </cell>
        </row>
        <row r="106">
          <cell r="A106">
            <v>19</v>
          </cell>
          <cell r="C106" t="str">
            <v>EYE DISORDERS EXCEPT MAJOR INFECTIONS                                             </v>
          </cell>
          <cell r="D106">
            <v>18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19</v>
          </cell>
          <cell r="J106">
            <v>10</v>
          </cell>
          <cell r="K106">
            <v>9</v>
          </cell>
          <cell r="L106">
            <v>0</v>
          </cell>
          <cell r="M106">
            <v>19</v>
          </cell>
          <cell r="N106">
            <v>1.8</v>
          </cell>
          <cell r="O106">
            <v>9281.95</v>
          </cell>
          <cell r="P106">
            <v>6.4</v>
          </cell>
        </row>
        <row r="107">
          <cell r="A107">
            <v>18.001</v>
          </cell>
          <cell r="C107" t="str">
            <v>FEMALE REPRODUCTIVE SYSTEM INFECTIONS                                             </v>
          </cell>
          <cell r="D107">
            <v>18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18</v>
          </cell>
          <cell r="J107">
            <v>0</v>
          </cell>
          <cell r="K107">
            <v>18</v>
          </cell>
          <cell r="L107">
            <v>0</v>
          </cell>
          <cell r="M107">
            <v>18</v>
          </cell>
          <cell r="N107">
            <v>2.2</v>
          </cell>
          <cell r="O107">
            <v>10694.89</v>
          </cell>
          <cell r="P107">
            <v>10.4</v>
          </cell>
        </row>
        <row r="108">
          <cell r="A108">
            <v>18</v>
          </cell>
          <cell r="C108" t="str">
            <v>DEGENERATIVE NERVOUS SYSTEM DISORDERS EXC MULT SCLEROSIS                          </v>
          </cell>
          <cell r="D108">
            <v>15</v>
          </cell>
          <cell r="E108">
            <v>3</v>
          </cell>
          <cell r="F108">
            <v>0</v>
          </cell>
          <cell r="G108">
            <v>0</v>
          </cell>
          <cell r="H108">
            <v>0</v>
          </cell>
          <cell r="I108">
            <v>18</v>
          </cell>
          <cell r="J108">
            <v>7</v>
          </cell>
          <cell r="K108">
            <v>11</v>
          </cell>
          <cell r="L108">
            <v>0</v>
          </cell>
          <cell r="M108">
            <v>18</v>
          </cell>
          <cell r="N108">
            <v>3.4</v>
          </cell>
          <cell r="O108">
            <v>16996.72</v>
          </cell>
          <cell r="P108">
            <v>10.7</v>
          </cell>
        </row>
        <row r="109">
          <cell r="A109">
            <v>17</v>
          </cell>
          <cell r="C109" t="str">
            <v>BONE MARROW TRANSPLANT                                                            </v>
          </cell>
          <cell r="D109">
            <v>16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17</v>
          </cell>
          <cell r="J109">
            <v>10</v>
          </cell>
          <cell r="K109">
            <v>7</v>
          </cell>
          <cell r="L109">
            <v>0</v>
          </cell>
          <cell r="M109">
            <v>17</v>
          </cell>
          <cell r="N109">
            <v>61.5</v>
          </cell>
          <cell r="O109">
            <v>680456.06</v>
          </cell>
          <cell r="P109">
            <v>5.6</v>
          </cell>
        </row>
        <row r="110">
          <cell r="A110">
            <v>16.001</v>
          </cell>
          <cell r="C110" t="str">
            <v>POST-OP, POST-TRAUMA, OTHER DEVICE INFECTIONS W O.R. PROCEDURE                    </v>
          </cell>
          <cell r="D110">
            <v>11</v>
          </cell>
          <cell r="E110">
            <v>5</v>
          </cell>
          <cell r="F110">
            <v>0</v>
          </cell>
          <cell r="G110">
            <v>0</v>
          </cell>
          <cell r="H110">
            <v>0</v>
          </cell>
          <cell r="I110">
            <v>16</v>
          </cell>
          <cell r="J110">
            <v>11</v>
          </cell>
          <cell r="K110">
            <v>5</v>
          </cell>
          <cell r="L110">
            <v>0</v>
          </cell>
          <cell r="M110">
            <v>16</v>
          </cell>
          <cell r="N110">
            <v>15.4</v>
          </cell>
          <cell r="O110">
            <v>84272.06</v>
          </cell>
          <cell r="P110">
            <v>15.1</v>
          </cell>
        </row>
        <row r="111">
          <cell r="A111">
            <v>16.001</v>
          </cell>
          <cell r="C111" t="str">
            <v>ACUTE LEUKEMIA                                                                    </v>
          </cell>
          <cell r="D111">
            <v>16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16</v>
          </cell>
          <cell r="J111">
            <v>12</v>
          </cell>
          <cell r="K111">
            <v>4</v>
          </cell>
          <cell r="L111">
            <v>0</v>
          </cell>
          <cell r="M111">
            <v>16</v>
          </cell>
          <cell r="N111">
            <v>18.1</v>
          </cell>
          <cell r="O111">
            <v>157391.38</v>
          </cell>
          <cell r="P111">
            <v>6.2</v>
          </cell>
        </row>
        <row r="112">
          <cell r="A112">
            <v>16.001</v>
          </cell>
          <cell r="C112" t="str">
            <v>MALFUNCTION, REACTION &amp; COMPLICATION OF GI DEVICE OR PROCEDURE                    </v>
          </cell>
          <cell r="D112">
            <v>15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16</v>
          </cell>
          <cell r="J112">
            <v>7</v>
          </cell>
          <cell r="K112">
            <v>9</v>
          </cell>
          <cell r="L112">
            <v>0</v>
          </cell>
          <cell r="M112">
            <v>16</v>
          </cell>
          <cell r="N112">
            <v>7</v>
          </cell>
          <cell r="O112">
            <v>68838.19</v>
          </cell>
          <cell r="P112">
            <v>7.6</v>
          </cell>
        </row>
        <row r="113">
          <cell r="A113">
            <v>16</v>
          </cell>
          <cell r="C113" t="str">
            <v>PERIPHERAL, CRANIAL &amp; AUTONOMIC NERVE DISORDERS                                   </v>
          </cell>
          <cell r="D113">
            <v>13</v>
          </cell>
          <cell r="E113">
            <v>3</v>
          </cell>
          <cell r="F113">
            <v>0</v>
          </cell>
          <cell r="G113">
            <v>0</v>
          </cell>
          <cell r="H113">
            <v>0</v>
          </cell>
          <cell r="I113">
            <v>16</v>
          </cell>
          <cell r="J113">
            <v>8</v>
          </cell>
          <cell r="K113">
            <v>8</v>
          </cell>
          <cell r="L113">
            <v>0</v>
          </cell>
          <cell r="M113">
            <v>16</v>
          </cell>
          <cell r="N113">
            <v>5.4</v>
          </cell>
          <cell r="O113">
            <v>27221.63</v>
          </cell>
          <cell r="P113">
            <v>10.9</v>
          </cell>
        </row>
        <row r="114">
          <cell r="A114">
            <v>15.001</v>
          </cell>
          <cell r="C114" t="str">
            <v>ACUTE ANXIETY &amp; DELIRIUM STATES                                                   </v>
          </cell>
          <cell r="D114">
            <v>14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15</v>
          </cell>
          <cell r="J114">
            <v>9</v>
          </cell>
          <cell r="K114">
            <v>6</v>
          </cell>
          <cell r="L114">
            <v>0</v>
          </cell>
          <cell r="M114">
            <v>15</v>
          </cell>
          <cell r="N114">
            <v>3</v>
          </cell>
          <cell r="O114">
            <v>14658.53</v>
          </cell>
          <cell r="P114">
            <v>12.3</v>
          </cell>
        </row>
        <row r="115">
          <cell r="A115">
            <v>15.001</v>
          </cell>
          <cell r="C115" t="str">
            <v>MENSTRUAL &amp; OTHER FEMALE REPRODUCTIVE SYSTEM DISORDERS                            </v>
          </cell>
          <cell r="D115">
            <v>15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15</v>
          </cell>
          <cell r="J115">
            <v>0</v>
          </cell>
          <cell r="K115">
            <v>15</v>
          </cell>
          <cell r="L115">
            <v>0</v>
          </cell>
          <cell r="M115">
            <v>15</v>
          </cell>
          <cell r="N115">
            <v>1.5</v>
          </cell>
          <cell r="O115">
            <v>11270.67</v>
          </cell>
          <cell r="P115">
            <v>13.4</v>
          </cell>
        </row>
        <row r="116">
          <cell r="A116">
            <v>15</v>
          </cell>
          <cell r="C116" t="str">
            <v>ANAL PROCEDURES                                                                   </v>
          </cell>
          <cell r="D116">
            <v>15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15</v>
          </cell>
          <cell r="J116">
            <v>8</v>
          </cell>
          <cell r="K116">
            <v>7</v>
          </cell>
          <cell r="L116">
            <v>0</v>
          </cell>
          <cell r="M116">
            <v>15</v>
          </cell>
          <cell r="N116">
            <v>3.4</v>
          </cell>
          <cell r="O116">
            <v>24254.93</v>
          </cell>
          <cell r="P116">
            <v>2.1</v>
          </cell>
        </row>
        <row r="117">
          <cell r="A117">
            <v>14.001</v>
          </cell>
          <cell r="C117" t="str">
            <v>EXTENSIVE PROCEDURE UNRELATED TO PRINCIPAL DIAGNOSIS                              </v>
          </cell>
          <cell r="D117">
            <v>13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14</v>
          </cell>
          <cell r="J117">
            <v>5</v>
          </cell>
          <cell r="K117">
            <v>9</v>
          </cell>
          <cell r="L117">
            <v>0</v>
          </cell>
          <cell r="M117">
            <v>14</v>
          </cell>
          <cell r="N117">
            <v>42.8</v>
          </cell>
          <cell r="O117">
            <v>393076.5</v>
          </cell>
          <cell r="P117">
            <v>5</v>
          </cell>
        </row>
        <row r="118">
          <cell r="A118">
            <v>14.001</v>
          </cell>
          <cell r="C118" t="str">
            <v>TESTES &amp; SCROTAL PROCEDURES                                                       </v>
          </cell>
          <cell r="D118">
            <v>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14</v>
          </cell>
          <cell r="J118">
            <v>14</v>
          </cell>
          <cell r="K118">
            <v>0</v>
          </cell>
          <cell r="L118">
            <v>0</v>
          </cell>
          <cell r="M118">
            <v>14</v>
          </cell>
          <cell r="N118">
            <v>1.6</v>
          </cell>
          <cell r="O118">
            <v>15632.71</v>
          </cell>
          <cell r="P118">
            <v>10.1</v>
          </cell>
        </row>
        <row r="119">
          <cell r="A119">
            <v>14.001</v>
          </cell>
          <cell r="C119" t="str">
            <v>INGUINAL, FEMORAL &amp; UMBILICAL HERNIA PROCEDURES                                   </v>
          </cell>
          <cell r="D119">
            <v>14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14</v>
          </cell>
          <cell r="J119">
            <v>13</v>
          </cell>
          <cell r="K119">
            <v>1</v>
          </cell>
          <cell r="L119">
            <v>0</v>
          </cell>
          <cell r="M119">
            <v>14</v>
          </cell>
          <cell r="N119">
            <v>4.4</v>
          </cell>
          <cell r="O119">
            <v>36169.21</v>
          </cell>
          <cell r="P119">
            <v>0.4</v>
          </cell>
        </row>
        <row r="120">
          <cell r="A120">
            <v>14.001</v>
          </cell>
          <cell r="C120" t="str">
            <v>MAJOR STOMACH, ESOPHAGEAL &amp; DUODENAL PROCEDURES                                   </v>
          </cell>
          <cell r="D120">
            <v>13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14</v>
          </cell>
          <cell r="J120">
            <v>9</v>
          </cell>
          <cell r="K120">
            <v>5</v>
          </cell>
          <cell r="L120">
            <v>0</v>
          </cell>
          <cell r="M120">
            <v>14</v>
          </cell>
          <cell r="N120">
            <v>18.1</v>
          </cell>
          <cell r="O120">
            <v>122232.71</v>
          </cell>
          <cell r="P120">
            <v>4.8</v>
          </cell>
        </row>
        <row r="121">
          <cell r="A121">
            <v>14.001</v>
          </cell>
          <cell r="C121" t="str">
            <v>CARDIAC CATHETERIZATION W CIRC DISORD EXC ISCHEMIC HEART DISEASE                  </v>
          </cell>
          <cell r="D121">
            <v>14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14</v>
          </cell>
          <cell r="J121">
            <v>9</v>
          </cell>
          <cell r="K121">
            <v>5</v>
          </cell>
          <cell r="L121">
            <v>0</v>
          </cell>
          <cell r="M121">
            <v>14</v>
          </cell>
          <cell r="N121">
            <v>4.9</v>
          </cell>
          <cell r="O121">
            <v>59490.64</v>
          </cell>
          <cell r="P121">
            <v>3.6</v>
          </cell>
        </row>
        <row r="122">
          <cell r="A122">
            <v>14</v>
          </cell>
          <cell r="C122" t="str">
            <v>PERCUTANEOUS CARDIOVASCULAR PROCEDURES W/O AMI                                    </v>
          </cell>
          <cell r="D122">
            <v>14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14</v>
          </cell>
          <cell r="J122">
            <v>7</v>
          </cell>
          <cell r="K122">
            <v>7</v>
          </cell>
          <cell r="L122">
            <v>0</v>
          </cell>
          <cell r="M122">
            <v>14</v>
          </cell>
          <cell r="N122">
            <v>3.9</v>
          </cell>
          <cell r="O122">
            <v>94383.93</v>
          </cell>
          <cell r="P122">
            <v>8.9</v>
          </cell>
        </row>
        <row r="123">
          <cell r="A123">
            <v>13.001</v>
          </cell>
          <cell r="C123" t="str">
            <v>TOXIC EFFECTS OF NON-MEDICINAL SUBSTANCES                                         </v>
          </cell>
          <cell r="D123">
            <v>13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13</v>
          </cell>
          <cell r="J123">
            <v>8</v>
          </cell>
          <cell r="K123">
            <v>5</v>
          </cell>
          <cell r="L123">
            <v>0</v>
          </cell>
          <cell r="M123">
            <v>13</v>
          </cell>
          <cell r="N123">
            <v>1.6</v>
          </cell>
          <cell r="O123">
            <v>9080.38</v>
          </cell>
          <cell r="P123">
            <v>3.4</v>
          </cell>
        </row>
        <row r="124">
          <cell r="A124">
            <v>13.001</v>
          </cell>
          <cell r="C124" t="str">
            <v>LAPAROSCOPIC CHOLECYSTECTOMY                                                      </v>
          </cell>
          <cell r="D124">
            <v>10</v>
          </cell>
          <cell r="E124">
            <v>3</v>
          </cell>
          <cell r="F124">
            <v>0</v>
          </cell>
          <cell r="G124">
            <v>0</v>
          </cell>
          <cell r="H124">
            <v>0</v>
          </cell>
          <cell r="I124">
            <v>13</v>
          </cell>
          <cell r="J124">
            <v>3</v>
          </cell>
          <cell r="K124">
            <v>10</v>
          </cell>
          <cell r="L124">
            <v>0</v>
          </cell>
          <cell r="M124">
            <v>13</v>
          </cell>
          <cell r="N124">
            <v>3.4</v>
          </cell>
          <cell r="O124">
            <v>26831.31</v>
          </cell>
          <cell r="P124">
            <v>14</v>
          </cell>
        </row>
        <row r="125">
          <cell r="A125">
            <v>13.001</v>
          </cell>
          <cell r="C125" t="str">
            <v>PERITONEAL ADHESIOLYSIS                                                           </v>
          </cell>
          <cell r="D125">
            <v>13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13</v>
          </cell>
          <cell r="J125">
            <v>6</v>
          </cell>
          <cell r="K125">
            <v>7</v>
          </cell>
          <cell r="L125">
            <v>0</v>
          </cell>
          <cell r="M125">
            <v>13</v>
          </cell>
          <cell r="N125">
            <v>6.2</v>
          </cell>
          <cell r="O125">
            <v>33852.23</v>
          </cell>
          <cell r="P125">
            <v>5.8</v>
          </cell>
        </row>
        <row r="126">
          <cell r="A126">
            <v>13.001</v>
          </cell>
          <cell r="C126" t="str">
            <v>PULMONARY EDEMA &amp; RESPIRATORY FAILURE                                             </v>
          </cell>
          <cell r="D126">
            <v>13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13</v>
          </cell>
          <cell r="J126">
            <v>7</v>
          </cell>
          <cell r="K126">
            <v>6</v>
          </cell>
          <cell r="L126">
            <v>0</v>
          </cell>
          <cell r="M126">
            <v>13</v>
          </cell>
          <cell r="N126">
            <v>11.3</v>
          </cell>
          <cell r="O126">
            <v>105472.15</v>
          </cell>
          <cell r="P126">
            <v>2.9</v>
          </cell>
        </row>
        <row r="127">
          <cell r="A127">
            <v>13.001</v>
          </cell>
          <cell r="C127" t="str">
            <v>MAJOR RESPIRATORY &amp; CHEST PROCEDURES                                              </v>
          </cell>
          <cell r="D127">
            <v>11</v>
          </cell>
          <cell r="E127">
            <v>2</v>
          </cell>
          <cell r="F127">
            <v>0</v>
          </cell>
          <cell r="G127">
            <v>0</v>
          </cell>
          <cell r="H127">
            <v>0</v>
          </cell>
          <cell r="I127">
            <v>13</v>
          </cell>
          <cell r="J127">
            <v>8</v>
          </cell>
          <cell r="K127">
            <v>5</v>
          </cell>
          <cell r="L127">
            <v>0</v>
          </cell>
          <cell r="M127">
            <v>13</v>
          </cell>
          <cell r="N127">
            <v>9.2</v>
          </cell>
          <cell r="O127">
            <v>89784.46</v>
          </cell>
          <cell r="P127">
            <v>11.2</v>
          </cell>
        </row>
        <row r="128">
          <cell r="A128">
            <v>13</v>
          </cell>
          <cell r="C128" t="str">
            <v>NONTRAUMATIC STUPOR &amp; COMA                                                        </v>
          </cell>
          <cell r="D128">
            <v>11</v>
          </cell>
          <cell r="E128">
            <v>2</v>
          </cell>
          <cell r="F128">
            <v>0</v>
          </cell>
          <cell r="G128">
            <v>0</v>
          </cell>
          <cell r="H128">
            <v>0</v>
          </cell>
          <cell r="I128">
            <v>13</v>
          </cell>
          <cell r="J128">
            <v>8</v>
          </cell>
          <cell r="K128">
            <v>5</v>
          </cell>
          <cell r="L128">
            <v>0</v>
          </cell>
          <cell r="M128">
            <v>13</v>
          </cell>
          <cell r="N128">
            <v>4</v>
          </cell>
          <cell r="O128">
            <v>29978.85</v>
          </cell>
          <cell r="P128">
            <v>9.5</v>
          </cell>
        </row>
        <row r="129">
          <cell r="A129">
            <v>12.001</v>
          </cell>
          <cell r="C129" t="str">
            <v>OTHER SKIN, SUBCUTANEOUS TISSUE &amp; RELATED PROCEDURES                              </v>
          </cell>
          <cell r="D129">
            <v>12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12</v>
          </cell>
          <cell r="J129">
            <v>6</v>
          </cell>
          <cell r="K129">
            <v>6</v>
          </cell>
          <cell r="L129">
            <v>0</v>
          </cell>
          <cell r="M129">
            <v>12</v>
          </cell>
          <cell r="N129">
            <v>3.3</v>
          </cell>
          <cell r="O129">
            <v>25972.58</v>
          </cell>
          <cell r="P129">
            <v>4.7</v>
          </cell>
        </row>
        <row r="130">
          <cell r="A130">
            <v>12</v>
          </cell>
          <cell r="C130" t="str">
            <v>CHEST PAIN                                                                        </v>
          </cell>
          <cell r="D130">
            <v>10</v>
          </cell>
          <cell r="E130">
            <v>2</v>
          </cell>
          <cell r="F130">
            <v>0</v>
          </cell>
          <cell r="G130">
            <v>0</v>
          </cell>
          <cell r="H130">
            <v>0</v>
          </cell>
          <cell r="I130">
            <v>12</v>
          </cell>
          <cell r="J130">
            <v>8</v>
          </cell>
          <cell r="K130">
            <v>4</v>
          </cell>
          <cell r="L130">
            <v>0</v>
          </cell>
          <cell r="M130">
            <v>12</v>
          </cell>
          <cell r="N130">
            <v>1.2</v>
          </cell>
          <cell r="O130">
            <v>9367.67</v>
          </cell>
          <cell r="P130">
            <v>14.7</v>
          </cell>
        </row>
        <row r="131">
          <cell r="A131">
            <v>11.001</v>
          </cell>
          <cell r="C131" t="str">
            <v>UTERINE &amp; ADNEXA PROCEDURES FOR NON-MALIGNANCY EXCEPT LEIOMYOMA                   </v>
          </cell>
          <cell r="D131">
            <v>11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11</v>
          </cell>
          <cell r="J131">
            <v>0</v>
          </cell>
          <cell r="K131">
            <v>11</v>
          </cell>
          <cell r="L131">
            <v>0</v>
          </cell>
          <cell r="M131">
            <v>11</v>
          </cell>
          <cell r="N131">
            <v>1.8</v>
          </cell>
          <cell r="O131">
            <v>20490.64</v>
          </cell>
          <cell r="P131">
            <v>11.7</v>
          </cell>
        </row>
        <row r="132">
          <cell r="A132">
            <v>11.001</v>
          </cell>
          <cell r="C132" t="str">
            <v>RENAL FAILURE                                                                     </v>
          </cell>
          <cell r="D132">
            <v>10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11</v>
          </cell>
          <cell r="J132">
            <v>9</v>
          </cell>
          <cell r="K132">
            <v>2</v>
          </cell>
          <cell r="L132">
            <v>0</v>
          </cell>
          <cell r="M132">
            <v>11</v>
          </cell>
          <cell r="N132">
            <v>3.6</v>
          </cell>
          <cell r="O132">
            <v>27234.36</v>
          </cell>
          <cell r="P132">
            <v>10.9</v>
          </cell>
        </row>
        <row r="133">
          <cell r="A133">
            <v>11.001</v>
          </cell>
          <cell r="C133" t="str">
            <v>MAJOR BLADDER PROCEDURES                                                          </v>
          </cell>
          <cell r="D133">
            <v>10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11</v>
          </cell>
          <cell r="J133">
            <v>4</v>
          </cell>
          <cell r="K133">
            <v>7</v>
          </cell>
          <cell r="L133">
            <v>0</v>
          </cell>
          <cell r="M133">
            <v>11</v>
          </cell>
          <cell r="N133">
            <v>16</v>
          </cell>
          <cell r="O133">
            <v>137098.36</v>
          </cell>
          <cell r="P133">
            <v>11.1</v>
          </cell>
        </row>
        <row r="134">
          <cell r="A134">
            <v>11.001</v>
          </cell>
          <cell r="C134" t="str">
            <v>INBORN ERRORS OF METABOLISM                                                       </v>
          </cell>
          <cell r="D134">
            <v>10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11</v>
          </cell>
          <cell r="J134">
            <v>5</v>
          </cell>
          <cell r="K134">
            <v>6</v>
          </cell>
          <cell r="L134">
            <v>0</v>
          </cell>
          <cell r="M134">
            <v>11</v>
          </cell>
          <cell r="N134">
            <v>3</v>
          </cell>
          <cell r="O134">
            <v>24074.55</v>
          </cell>
          <cell r="P134">
            <v>7.5</v>
          </cell>
        </row>
        <row r="135">
          <cell r="A135">
            <v>11.001</v>
          </cell>
          <cell r="C135" t="str">
            <v>CERVICAL SPINAL FUSION &amp; OTHER BACK/NECK PROC EXC DISC EXCIS/ DECOMP              </v>
          </cell>
          <cell r="D135">
            <v>10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11</v>
          </cell>
          <cell r="J135">
            <v>4</v>
          </cell>
          <cell r="K135">
            <v>7</v>
          </cell>
          <cell r="L135">
            <v>0</v>
          </cell>
          <cell r="M135">
            <v>11</v>
          </cell>
          <cell r="N135">
            <v>7.3</v>
          </cell>
          <cell r="O135">
            <v>80137.73</v>
          </cell>
          <cell r="P135">
            <v>7.3</v>
          </cell>
        </row>
        <row r="136">
          <cell r="A136">
            <v>11</v>
          </cell>
          <cell r="C136" t="str">
            <v>MULTIPLE SCLEROSIS &amp; OTHER DEMYELINATING DISEASES                                 </v>
          </cell>
          <cell r="D136">
            <v>11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11</v>
          </cell>
          <cell r="J136">
            <v>9</v>
          </cell>
          <cell r="K136">
            <v>2</v>
          </cell>
          <cell r="L136">
            <v>0</v>
          </cell>
          <cell r="M136">
            <v>11</v>
          </cell>
          <cell r="N136">
            <v>4.3</v>
          </cell>
          <cell r="O136">
            <v>31920</v>
          </cell>
          <cell r="P136">
            <v>10</v>
          </cell>
        </row>
        <row r="137">
          <cell r="A137">
            <v>10.001</v>
          </cell>
          <cell r="C137" t="str">
            <v>O.R. PROCEDURE FOR OTHER COMPLICATIONS OF TREATMENT                               </v>
          </cell>
          <cell r="D137">
            <v>9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10</v>
          </cell>
          <cell r="J137">
            <v>4</v>
          </cell>
          <cell r="K137">
            <v>6</v>
          </cell>
          <cell r="L137">
            <v>0</v>
          </cell>
          <cell r="M137">
            <v>10</v>
          </cell>
          <cell r="N137">
            <v>3</v>
          </cell>
          <cell r="O137">
            <v>29831.4</v>
          </cell>
          <cell r="P137">
            <v>9.8</v>
          </cell>
        </row>
        <row r="138">
          <cell r="A138">
            <v>10.001</v>
          </cell>
          <cell r="C138" t="str">
            <v>OTHER &amp; UNSPECIFIED GASTROINTESTINAL HEMORRHAGE                                   </v>
          </cell>
          <cell r="D138">
            <v>10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10</v>
          </cell>
          <cell r="J138">
            <v>8</v>
          </cell>
          <cell r="K138">
            <v>2</v>
          </cell>
          <cell r="L138">
            <v>0</v>
          </cell>
          <cell r="M138">
            <v>10</v>
          </cell>
          <cell r="N138">
            <v>2</v>
          </cell>
          <cell r="O138">
            <v>13175.3</v>
          </cell>
          <cell r="P138">
            <v>7.8</v>
          </cell>
        </row>
        <row r="139">
          <cell r="A139">
            <v>10.001</v>
          </cell>
          <cell r="C139" t="str">
            <v>CARDIAC STRUCTURAL &amp; VALVULAR DISORDERS                                           </v>
          </cell>
          <cell r="D139">
            <v>10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10</v>
          </cell>
          <cell r="J139">
            <v>4</v>
          </cell>
          <cell r="K139">
            <v>6</v>
          </cell>
          <cell r="L139">
            <v>0</v>
          </cell>
          <cell r="M139">
            <v>10</v>
          </cell>
          <cell r="N139">
            <v>10.2</v>
          </cell>
          <cell r="O139">
            <v>72181.3</v>
          </cell>
          <cell r="P139">
            <v>3.2</v>
          </cell>
        </row>
        <row r="140">
          <cell r="A140">
            <v>10.001</v>
          </cell>
          <cell r="C140" t="str">
            <v>NERVOUS SYSTEM MALIGNANCY                                                         </v>
          </cell>
          <cell r="D140">
            <v>9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10</v>
          </cell>
          <cell r="J140">
            <v>5</v>
          </cell>
          <cell r="K140">
            <v>5</v>
          </cell>
          <cell r="L140">
            <v>0</v>
          </cell>
          <cell r="M140">
            <v>10</v>
          </cell>
          <cell r="N140">
            <v>21</v>
          </cell>
          <cell r="O140">
            <v>109279.7</v>
          </cell>
          <cell r="P140">
            <v>7.2</v>
          </cell>
        </row>
        <row r="141">
          <cell r="A141">
            <v>10</v>
          </cell>
          <cell r="C141" t="str">
            <v>LIVER TRANSPLANT                                                                   </v>
          </cell>
          <cell r="D141">
            <v>8</v>
          </cell>
          <cell r="E141">
            <v>2</v>
          </cell>
          <cell r="F141">
            <v>0</v>
          </cell>
          <cell r="G141">
            <v>0</v>
          </cell>
          <cell r="H141">
            <v>0</v>
          </cell>
          <cell r="I141">
            <v>10</v>
          </cell>
          <cell r="J141">
            <v>7</v>
          </cell>
          <cell r="K141">
            <v>3</v>
          </cell>
          <cell r="L141">
            <v>0</v>
          </cell>
          <cell r="M141">
            <v>10</v>
          </cell>
          <cell r="N141">
            <v>74</v>
          </cell>
          <cell r="O141">
            <v>743650.4</v>
          </cell>
          <cell r="P141">
            <v>8</v>
          </cell>
        </row>
        <row r="142">
          <cell r="A142">
            <v>9.001</v>
          </cell>
          <cell r="C142" t="str">
            <v>OTHER DRUG ABUSE &amp; DEPENDENCE                                                     </v>
          </cell>
          <cell r="D142">
            <v>9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9</v>
          </cell>
          <cell r="J142">
            <v>3</v>
          </cell>
          <cell r="K142">
            <v>6</v>
          </cell>
          <cell r="L142">
            <v>0</v>
          </cell>
          <cell r="M142">
            <v>9</v>
          </cell>
          <cell r="N142">
            <v>3.1</v>
          </cell>
          <cell r="O142">
            <v>11603.22</v>
          </cell>
          <cell r="P142">
            <v>5.9</v>
          </cell>
        </row>
        <row r="143">
          <cell r="A143">
            <v>9.001</v>
          </cell>
          <cell r="C143" t="str">
            <v>OTHER FEMALE REPRODUCTIVE SYSTEM &amp; RELATED PROCEDURES                             </v>
          </cell>
          <cell r="D143">
            <v>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9</v>
          </cell>
          <cell r="J143">
            <v>0</v>
          </cell>
          <cell r="K143">
            <v>9</v>
          </cell>
          <cell r="L143">
            <v>0</v>
          </cell>
          <cell r="M143">
            <v>9</v>
          </cell>
          <cell r="N143">
            <v>3.4</v>
          </cell>
          <cell r="O143">
            <v>23827</v>
          </cell>
          <cell r="P143">
            <v>6</v>
          </cell>
        </row>
        <row r="144">
          <cell r="A144">
            <v>9.001</v>
          </cell>
          <cell r="C144" t="str">
            <v>HAND &amp; WRIST PROCEDURES                                                           </v>
          </cell>
          <cell r="D144">
            <v>8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9</v>
          </cell>
          <cell r="J144">
            <v>6</v>
          </cell>
          <cell r="K144">
            <v>3</v>
          </cell>
          <cell r="L144">
            <v>0</v>
          </cell>
          <cell r="M144">
            <v>9</v>
          </cell>
          <cell r="N144">
            <v>3.2</v>
          </cell>
          <cell r="O144">
            <v>29086.44</v>
          </cell>
          <cell r="P144">
            <v>9.4</v>
          </cell>
        </row>
        <row r="145">
          <cell r="A145">
            <v>9.001</v>
          </cell>
          <cell r="C145" t="str">
            <v>FACIAL BONE PROCEDURES EXCEPT MAJOR CRANIAL/FACIAL BONE PROCEDURES                </v>
          </cell>
          <cell r="D145">
            <v>9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9</v>
          </cell>
          <cell r="J145">
            <v>7</v>
          </cell>
          <cell r="K145">
            <v>2</v>
          </cell>
          <cell r="L145">
            <v>0</v>
          </cell>
          <cell r="M145">
            <v>9</v>
          </cell>
          <cell r="N145">
            <v>9.1</v>
          </cell>
          <cell r="O145">
            <v>89352.89</v>
          </cell>
          <cell r="P145">
            <v>8.1</v>
          </cell>
        </row>
        <row r="146">
          <cell r="A146">
            <v>9.001</v>
          </cell>
          <cell r="C146" t="str">
            <v>ACUTE MAJOR EYE INFECTIONS                                                        </v>
          </cell>
          <cell r="D146">
            <v>9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9</v>
          </cell>
          <cell r="J146">
            <v>5</v>
          </cell>
          <cell r="K146">
            <v>4</v>
          </cell>
          <cell r="L146">
            <v>0</v>
          </cell>
          <cell r="M146">
            <v>9</v>
          </cell>
          <cell r="N146">
            <v>6.1</v>
          </cell>
          <cell r="O146">
            <v>30814.44</v>
          </cell>
          <cell r="P146">
            <v>5.1</v>
          </cell>
        </row>
        <row r="147">
          <cell r="A147">
            <v>9.001</v>
          </cell>
          <cell r="C147" t="str">
            <v>BRAIN CONTUSION/LACERATION &amp; COMPLICATED SKULL FX, COMA &lt; 1 HR OR NO COMA         </v>
          </cell>
          <cell r="D147">
            <v>9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9</v>
          </cell>
          <cell r="J147">
            <v>6</v>
          </cell>
          <cell r="K147">
            <v>3</v>
          </cell>
          <cell r="L147">
            <v>0</v>
          </cell>
          <cell r="M147">
            <v>9</v>
          </cell>
          <cell r="N147">
            <v>1.4</v>
          </cell>
          <cell r="O147">
            <v>11560.33</v>
          </cell>
          <cell r="P147">
            <v>5.1</v>
          </cell>
        </row>
        <row r="148">
          <cell r="A148">
            <v>9</v>
          </cell>
          <cell r="C148" t="str">
            <v>TRACHEOSTOMY W LONG TERM MECHANICAL VENTILATION W EXTENSIVE PROCEDURE             </v>
          </cell>
          <cell r="D148">
            <v>9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9</v>
          </cell>
          <cell r="J148">
            <v>4</v>
          </cell>
          <cell r="K148">
            <v>5</v>
          </cell>
          <cell r="L148">
            <v>0</v>
          </cell>
          <cell r="M148">
            <v>9</v>
          </cell>
          <cell r="N148">
            <v>86</v>
          </cell>
          <cell r="O148">
            <v>1197158.11</v>
          </cell>
          <cell r="P148">
            <v>1.8</v>
          </cell>
        </row>
        <row r="149">
          <cell r="A149">
            <v>8.001</v>
          </cell>
          <cell r="C149" t="str">
            <v>REHABILITATION                                                                    </v>
          </cell>
          <cell r="D149">
            <v>8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8</v>
          </cell>
          <cell r="J149">
            <v>4</v>
          </cell>
          <cell r="K149">
            <v>4</v>
          </cell>
          <cell r="L149">
            <v>0</v>
          </cell>
          <cell r="M149">
            <v>8</v>
          </cell>
          <cell r="N149">
            <v>28.4</v>
          </cell>
          <cell r="O149">
            <v>93660</v>
          </cell>
          <cell r="P149">
            <v>12.5</v>
          </cell>
        </row>
        <row r="150">
          <cell r="A150">
            <v>8.001</v>
          </cell>
          <cell r="C150" t="str">
            <v>OTHER PROCEDURES OF BLOOD &amp; BLOOD-FORMING ORGANS                                  </v>
          </cell>
          <cell r="D150">
            <v>8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8</v>
          </cell>
          <cell r="J150">
            <v>6</v>
          </cell>
          <cell r="K150">
            <v>2</v>
          </cell>
          <cell r="L150">
            <v>0</v>
          </cell>
          <cell r="M150">
            <v>8</v>
          </cell>
          <cell r="N150">
            <v>4.3</v>
          </cell>
          <cell r="O150">
            <v>32091.38</v>
          </cell>
          <cell r="P150">
            <v>2.1</v>
          </cell>
        </row>
        <row r="151">
          <cell r="A151">
            <v>8.001</v>
          </cell>
          <cell r="C151" t="str">
            <v>MALE REPRODUCTIVE SYSTEM DIAGNOSES EXCEPT MALIGNANCY                              </v>
          </cell>
          <cell r="D151">
            <v>8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8</v>
          </cell>
          <cell r="J151">
            <v>8</v>
          </cell>
          <cell r="K151">
            <v>0</v>
          </cell>
          <cell r="L151">
            <v>0</v>
          </cell>
          <cell r="M151">
            <v>8</v>
          </cell>
          <cell r="N151">
            <v>2</v>
          </cell>
          <cell r="O151">
            <v>7983.38</v>
          </cell>
          <cell r="P151">
            <v>2</v>
          </cell>
        </row>
        <row r="152">
          <cell r="A152">
            <v>8.001</v>
          </cell>
          <cell r="C152" t="str">
            <v>HEPATIC COMA &amp; OTHER MAJOR ACUTE LIVER DISORDERS                                  </v>
          </cell>
          <cell r="D152">
            <v>5</v>
          </cell>
          <cell r="E152">
            <v>3</v>
          </cell>
          <cell r="F152">
            <v>0</v>
          </cell>
          <cell r="G152">
            <v>0</v>
          </cell>
          <cell r="H152">
            <v>0</v>
          </cell>
          <cell r="I152">
            <v>8</v>
          </cell>
          <cell r="J152">
            <v>6</v>
          </cell>
          <cell r="K152">
            <v>2</v>
          </cell>
          <cell r="L152">
            <v>0</v>
          </cell>
          <cell r="M152">
            <v>8</v>
          </cell>
          <cell r="N152">
            <v>7.1</v>
          </cell>
          <cell r="O152">
            <v>39928.75</v>
          </cell>
          <cell r="P152">
            <v>11.7</v>
          </cell>
        </row>
        <row r="153">
          <cell r="A153">
            <v>8.001</v>
          </cell>
          <cell r="C153" t="str">
            <v>MALFUNCTION,REACTION,COMPLICATION OF CARDIAC/VASC DEVICE OR PROCEDURE             </v>
          </cell>
          <cell r="D153">
            <v>7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8</v>
          </cell>
          <cell r="J153">
            <v>3</v>
          </cell>
          <cell r="K153">
            <v>5</v>
          </cell>
          <cell r="L153">
            <v>0</v>
          </cell>
          <cell r="M153">
            <v>8</v>
          </cell>
          <cell r="N153">
            <v>11.6</v>
          </cell>
          <cell r="O153">
            <v>62303.5</v>
          </cell>
          <cell r="P153">
            <v>12.4</v>
          </cell>
        </row>
        <row r="154">
          <cell r="A154">
            <v>8</v>
          </cell>
          <cell r="C154" t="str">
            <v>PERIPHERAL &amp; OTHER VASCULAR DISORDERS                                             </v>
          </cell>
          <cell r="D154">
            <v>8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8</v>
          </cell>
          <cell r="J154">
            <v>5</v>
          </cell>
          <cell r="K154">
            <v>3</v>
          </cell>
          <cell r="L154">
            <v>0</v>
          </cell>
          <cell r="M154">
            <v>8</v>
          </cell>
          <cell r="N154">
            <v>3.6</v>
          </cell>
          <cell r="O154">
            <v>21998.13</v>
          </cell>
          <cell r="P154">
            <v>13.4</v>
          </cell>
        </row>
        <row r="155">
          <cell r="A155">
            <v>7.001</v>
          </cell>
          <cell r="C155" t="str">
            <v>OTHER MENTAL HEALTH DISORDERS                                                     </v>
          </cell>
          <cell r="D155">
            <v>7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7</v>
          </cell>
          <cell r="J155">
            <v>4</v>
          </cell>
          <cell r="K155">
            <v>3</v>
          </cell>
          <cell r="L155">
            <v>0</v>
          </cell>
          <cell r="M155">
            <v>7</v>
          </cell>
          <cell r="N155">
            <v>2.4</v>
          </cell>
          <cell r="O155">
            <v>12977</v>
          </cell>
          <cell r="P155">
            <v>6.9</v>
          </cell>
        </row>
        <row r="156">
          <cell r="A156">
            <v>7.001</v>
          </cell>
          <cell r="C156" t="str">
            <v>NEONATE BWT 1500-2499G W MAJOR PROCEDURE                                          </v>
          </cell>
          <cell r="D156">
            <v>7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7</v>
          </cell>
          <cell r="J156">
            <v>3</v>
          </cell>
          <cell r="K156">
            <v>4</v>
          </cell>
          <cell r="L156">
            <v>0</v>
          </cell>
          <cell r="M156">
            <v>7</v>
          </cell>
          <cell r="N156">
            <v>60</v>
          </cell>
          <cell r="O156">
            <v>411221.71</v>
          </cell>
          <cell r="P156">
            <v>0</v>
          </cell>
        </row>
        <row r="157">
          <cell r="A157">
            <v>7.001</v>
          </cell>
          <cell r="C157" t="str">
            <v>URETHRAL &amp; TRANSURETHRAL PROCEDURES                                               </v>
          </cell>
          <cell r="D157">
            <v>4</v>
          </cell>
          <cell r="E157">
            <v>3</v>
          </cell>
          <cell r="F157">
            <v>0</v>
          </cell>
          <cell r="G157">
            <v>0</v>
          </cell>
          <cell r="H157">
            <v>0</v>
          </cell>
          <cell r="I157">
            <v>7</v>
          </cell>
          <cell r="J157">
            <v>5</v>
          </cell>
          <cell r="K157">
            <v>2</v>
          </cell>
          <cell r="L157">
            <v>0</v>
          </cell>
          <cell r="M157">
            <v>7</v>
          </cell>
          <cell r="N157">
            <v>3.9</v>
          </cell>
          <cell r="O157">
            <v>31460.57</v>
          </cell>
          <cell r="P157">
            <v>14.9</v>
          </cell>
        </row>
        <row r="158">
          <cell r="A158">
            <v>7.001</v>
          </cell>
          <cell r="C158" t="str">
            <v>OTHER PROCEDURES FOR ENDOCRINE, NUTRITIONAL &amp; METABOLIC DISORDERS                 </v>
          </cell>
          <cell r="D158">
            <v>7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7</v>
          </cell>
          <cell r="J158">
            <v>2</v>
          </cell>
          <cell r="K158">
            <v>5</v>
          </cell>
          <cell r="L158">
            <v>0</v>
          </cell>
          <cell r="M158">
            <v>7</v>
          </cell>
          <cell r="N158">
            <v>41.6</v>
          </cell>
          <cell r="O158">
            <v>306170.57</v>
          </cell>
          <cell r="P158">
            <v>4.1</v>
          </cell>
        </row>
        <row r="159">
          <cell r="A159">
            <v>7.001</v>
          </cell>
          <cell r="C159" t="str">
            <v>SKIN ULCERS                                                                       </v>
          </cell>
          <cell r="D159">
            <v>4</v>
          </cell>
          <cell r="E159">
            <v>3</v>
          </cell>
          <cell r="F159">
            <v>0</v>
          </cell>
          <cell r="G159">
            <v>0</v>
          </cell>
          <cell r="H159">
            <v>0</v>
          </cell>
          <cell r="I159">
            <v>7</v>
          </cell>
          <cell r="J159">
            <v>2</v>
          </cell>
          <cell r="K159">
            <v>5</v>
          </cell>
          <cell r="L159">
            <v>0</v>
          </cell>
          <cell r="M159">
            <v>7</v>
          </cell>
          <cell r="N159">
            <v>18.4</v>
          </cell>
          <cell r="O159">
            <v>86124.29</v>
          </cell>
          <cell r="P159">
            <v>17.3</v>
          </cell>
        </row>
        <row r="160">
          <cell r="A160">
            <v>7.001</v>
          </cell>
          <cell r="C160" t="str">
            <v>INTERVERTEBRAL DISC EXCISION &amp; DECOMPRESSION                                      </v>
          </cell>
          <cell r="D160">
            <v>6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7</v>
          </cell>
          <cell r="J160">
            <v>2</v>
          </cell>
          <cell r="K160">
            <v>5</v>
          </cell>
          <cell r="L160">
            <v>0</v>
          </cell>
          <cell r="M160">
            <v>7</v>
          </cell>
          <cell r="N160">
            <v>3</v>
          </cell>
          <cell r="O160">
            <v>36469.86</v>
          </cell>
          <cell r="P160">
            <v>11.6</v>
          </cell>
        </row>
        <row r="161">
          <cell r="A161">
            <v>7.001</v>
          </cell>
          <cell r="C161" t="str">
            <v>OTHER DIGESTIVE SYSTEM &amp; ABDOMINAL PROCEDURES                                     </v>
          </cell>
          <cell r="D161">
            <v>7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7</v>
          </cell>
          <cell r="J161">
            <v>5</v>
          </cell>
          <cell r="K161">
            <v>2</v>
          </cell>
          <cell r="L161">
            <v>0</v>
          </cell>
          <cell r="M161">
            <v>7</v>
          </cell>
          <cell r="N161">
            <v>2.6</v>
          </cell>
          <cell r="O161">
            <v>30546.71</v>
          </cell>
          <cell r="P161">
            <v>6.7</v>
          </cell>
        </row>
        <row r="162">
          <cell r="A162">
            <v>7.001</v>
          </cell>
          <cell r="C162" t="str">
            <v>MAJOR THORACIC &amp; ABDOMINAL VASCULAR PROCEDURES                                    </v>
          </cell>
          <cell r="D162">
            <v>7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7</v>
          </cell>
          <cell r="J162">
            <v>2</v>
          </cell>
          <cell r="K162">
            <v>5</v>
          </cell>
          <cell r="L162">
            <v>0</v>
          </cell>
          <cell r="M162">
            <v>7</v>
          </cell>
          <cell r="N162">
            <v>10</v>
          </cell>
          <cell r="O162">
            <v>144852.86</v>
          </cell>
          <cell r="P162">
            <v>2.6</v>
          </cell>
        </row>
        <row r="163">
          <cell r="A163">
            <v>7</v>
          </cell>
          <cell r="C163" t="str">
            <v>BACTERIAL &amp; TUBERCULOUS INFECTIONS OF NERVOUS SYSTEM                              </v>
          </cell>
          <cell r="D163">
            <v>7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7</v>
          </cell>
          <cell r="J163">
            <v>6</v>
          </cell>
          <cell r="K163">
            <v>1</v>
          </cell>
          <cell r="L163">
            <v>0</v>
          </cell>
          <cell r="M163">
            <v>7</v>
          </cell>
          <cell r="N163">
            <v>8.1</v>
          </cell>
          <cell r="O163">
            <v>40993</v>
          </cell>
          <cell r="P163">
            <v>6.6</v>
          </cell>
        </row>
        <row r="164">
          <cell r="A164">
            <v>6.001</v>
          </cell>
          <cell r="C164" t="str">
            <v>PROCEDURE W DIAG OF REHAB, AFTERCARE OR OTH CONTACT W HEALTH SERVICE              </v>
          </cell>
          <cell r="D164">
            <v>6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6</v>
          </cell>
          <cell r="J164">
            <v>3</v>
          </cell>
          <cell r="K164">
            <v>3</v>
          </cell>
          <cell r="L164">
            <v>0</v>
          </cell>
          <cell r="M164">
            <v>6</v>
          </cell>
          <cell r="N164">
            <v>52.7</v>
          </cell>
          <cell r="O164">
            <v>403269.83</v>
          </cell>
          <cell r="P164">
            <v>8</v>
          </cell>
        </row>
        <row r="165">
          <cell r="A165">
            <v>6.001</v>
          </cell>
          <cell r="C165" t="str">
            <v>SPLENECTOMY                                                                       </v>
          </cell>
          <cell r="D165">
            <v>6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6</v>
          </cell>
          <cell r="J165">
            <v>4</v>
          </cell>
          <cell r="K165">
            <v>2</v>
          </cell>
          <cell r="L165">
            <v>0</v>
          </cell>
          <cell r="M165">
            <v>6</v>
          </cell>
          <cell r="N165">
            <v>4.2</v>
          </cell>
          <cell r="O165">
            <v>35172</v>
          </cell>
          <cell r="P165">
            <v>9.2</v>
          </cell>
        </row>
        <row r="166">
          <cell r="A166">
            <v>6.001</v>
          </cell>
          <cell r="C166" t="str">
            <v>NEONATE, BIRTHWT &gt;2499G W RESP DIST SYND/OTH MAJ RESP COND                        </v>
          </cell>
          <cell r="D166">
            <v>6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6</v>
          </cell>
          <cell r="J166">
            <v>4</v>
          </cell>
          <cell r="K166">
            <v>2</v>
          </cell>
          <cell r="L166">
            <v>0</v>
          </cell>
          <cell r="M166">
            <v>6</v>
          </cell>
          <cell r="N166">
            <v>15.3</v>
          </cell>
          <cell r="O166">
            <v>93073.67</v>
          </cell>
          <cell r="P166">
            <v>0</v>
          </cell>
        </row>
        <row r="167">
          <cell r="A167">
            <v>6.001</v>
          </cell>
          <cell r="C167" t="str">
            <v>OTHER HEPATOBILIARY, PANCREAS &amp; ABDOMINAL PROCEDURES                              </v>
          </cell>
          <cell r="D167">
            <v>4</v>
          </cell>
          <cell r="E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6</v>
          </cell>
          <cell r="J167">
            <v>5</v>
          </cell>
          <cell r="K167">
            <v>1</v>
          </cell>
          <cell r="L167">
            <v>0</v>
          </cell>
          <cell r="M167">
            <v>6</v>
          </cell>
          <cell r="N167">
            <v>8.7</v>
          </cell>
          <cell r="O167">
            <v>79480.17</v>
          </cell>
          <cell r="P167">
            <v>7.8</v>
          </cell>
        </row>
        <row r="168">
          <cell r="A168">
            <v>6.001</v>
          </cell>
          <cell r="C168" t="str">
            <v>MAJOR BILIARY TRACT PROCEDURES                                                    </v>
          </cell>
          <cell r="D168">
            <v>6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6</v>
          </cell>
          <cell r="J168">
            <v>3</v>
          </cell>
          <cell r="K168">
            <v>3</v>
          </cell>
          <cell r="L168">
            <v>0</v>
          </cell>
          <cell r="M168">
            <v>6</v>
          </cell>
          <cell r="N168">
            <v>8.8</v>
          </cell>
          <cell r="O168">
            <v>65062.67</v>
          </cell>
          <cell r="P168">
            <v>0.8</v>
          </cell>
        </row>
        <row r="169">
          <cell r="A169">
            <v>6.001</v>
          </cell>
          <cell r="C169" t="str">
            <v>MAJOR PANCREAS, LIVER &amp; SHUNT PROCEDURES                                          </v>
          </cell>
          <cell r="D169">
            <v>3</v>
          </cell>
          <cell r="E169">
            <v>3</v>
          </cell>
          <cell r="F169">
            <v>0</v>
          </cell>
          <cell r="G169">
            <v>0</v>
          </cell>
          <cell r="H169">
            <v>0</v>
          </cell>
          <cell r="I169">
            <v>6</v>
          </cell>
          <cell r="J169">
            <v>5</v>
          </cell>
          <cell r="K169">
            <v>1</v>
          </cell>
          <cell r="L169">
            <v>0</v>
          </cell>
          <cell r="M169">
            <v>6</v>
          </cell>
          <cell r="N169">
            <v>10.7</v>
          </cell>
          <cell r="O169">
            <v>111689.83</v>
          </cell>
          <cell r="P169">
            <v>14.2</v>
          </cell>
        </row>
        <row r="170">
          <cell r="A170">
            <v>6.001</v>
          </cell>
          <cell r="C170" t="str">
            <v>SINUS &amp; MASTOID PROCEDURES                                                        </v>
          </cell>
          <cell r="D170">
            <v>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6</v>
          </cell>
          <cell r="J170">
            <v>3</v>
          </cell>
          <cell r="K170">
            <v>3</v>
          </cell>
          <cell r="L170">
            <v>0</v>
          </cell>
          <cell r="M170">
            <v>6</v>
          </cell>
          <cell r="N170">
            <v>4.2</v>
          </cell>
          <cell r="O170">
            <v>28818.33</v>
          </cell>
          <cell r="P170">
            <v>8</v>
          </cell>
        </row>
        <row r="171">
          <cell r="A171">
            <v>6</v>
          </cell>
          <cell r="C171" t="str">
            <v>NON-BACTERIAL INFECTIONS OF NERVOUS SYSTEM EXC VIRAL MENINGITIS                   </v>
          </cell>
          <cell r="D171">
            <v>6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6</v>
          </cell>
          <cell r="J171">
            <v>3</v>
          </cell>
          <cell r="K171">
            <v>3</v>
          </cell>
          <cell r="L171">
            <v>0</v>
          </cell>
          <cell r="M171">
            <v>6</v>
          </cell>
          <cell r="N171">
            <v>8.7</v>
          </cell>
          <cell r="O171">
            <v>53756.33</v>
          </cell>
          <cell r="P171">
            <v>6.2</v>
          </cell>
        </row>
        <row r="172">
          <cell r="A172">
            <v>5.001</v>
          </cell>
          <cell r="C172" t="str">
            <v>MULTIPLE SIGNIFICANT TRAUMA W/O O.R. PROCEDURE                                    </v>
          </cell>
          <cell r="D172">
            <v>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5</v>
          </cell>
          <cell r="J172">
            <v>4</v>
          </cell>
          <cell r="K172">
            <v>1</v>
          </cell>
          <cell r="L172">
            <v>0</v>
          </cell>
          <cell r="M172">
            <v>5</v>
          </cell>
          <cell r="N172">
            <v>18.6</v>
          </cell>
          <cell r="O172">
            <v>111002.6</v>
          </cell>
          <cell r="P172">
            <v>4.2</v>
          </cell>
        </row>
        <row r="173">
          <cell r="A173">
            <v>5.001</v>
          </cell>
          <cell r="C173" t="str">
            <v>LYMPHATIC &amp; OTHER MALIGNANCIES &amp; NEOPLASMS OF UNCERTAIN BEHAVIOR                  </v>
          </cell>
          <cell r="D173">
            <v>5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5</v>
          </cell>
          <cell r="J173">
            <v>3</v>
          </cell>
          <cell r="K173">
            <v>2</v>
          </cell>
          <cell r="L173">
            <v>0</v>
          </cell>
          <cell r="M173">
            <v>5</v>
          </cell>
          <cell r="N173">
            <v>7.2</v>
          </cell>
          <cell r="O173">
            <v>49568.8</v>
          </cell>
          <cell r="P173">
            <v>7.6</v>
          </cell>
        </row>
        <row r="174">
          <cell r="A174">
            <v>5.001</v>
          </cell>
          <cell r="C174" t="str">
            <v>NEONATE BIRTHWT &gt;2499G W CONGENITAL/PERINATAL INFECTION                           </v>
          </cell>
          <cell r="D174">
            <v>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5</v>
          </cell>
          <cell r="J174">
            <v>2</v>
          </cell>
          <cell r="K174">
            <v>3</v>
          </cell>
          <cell r="L174">
            <v>0</v>
          </cell>
          <cell r="M174">
            <v>5</v>
          </cell>
          <cell r="N174">
            <v>4.6</v>
          </cell>
          <cell r="O174">
            <v>25412.4</v>
          </cell>
          <cell r="P174">
            <v>0</v>
          </cell>
        </row>
        <row r="175">
          <cell r="A175">
            <v>5.001</v>
          </cell>
          <cell r="C175" t="str">
            <v>NEONATE W ECMO                                                                    </v>
          </cell>
          <cell r="D175">
            <v>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5</v>
          </cell>
          <cell r="J175">
            <v>3</v>
          </cell>
          <cell r="K175">
            <v>2</v>
          </cell>
          <cell r="L175">
            <v>0</v>
          </cell>
          <cell r="M175">
            <v>5</v>
          </cell>
          <cell r="N175">
            <v>73</v>
          </cell>
          <cell r="O175">
            <v>1153976.6</v>
          </cell>
          <cell r="P175">
            <v>0</v>
          </cell>
        </row>
        <row r="176">
          <cell r="A176">
            <v>5.001</v>
          </cell>
          <cell r="C176" t="str">
            <v>MALFUNCTION, REACTION, COMPLIC OF GENITOURINARY DEVICE OR PROC                    </v>
          </cell>
          <cell r="D176">
            <v>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5</v>
          </cell>
          <cell r="J176">
            <v>4</v>
          </cell>
          <cell r="K176">
            <v>1</v>
          </cell>
          <cell r="L176">
            <v>0</v>
          </cell>
          <cell r="M176">
            <v>5</v>
          </cell>
          <cell r="N176">
            <v>4.6</v>
          </cell>
          <cell r="O176">
            <v>42856.4</v>
          </cell>
          <cell r="P176">
            <v>9.4</v>
          </cell>
        </row>
        <row r="177">
          <cell r="A177">
            <v>5.001</v>
          </cell>
          <cell r="C177" t="str">
            <v>PITUITARY &amp; ADRENAL PROCEDURES                                                    </v>
          </cell>
          <cell r="D177">
            <v>4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5</v>
          </cell>
          <cell r="J177">
            <v>2</v>
          </cell>
          <cell r="K177">
            <v>3</v>
          </cell>
          <cell r="L177">
            <v>0</v>
          </cell>
          <cell r="M177">
            <v>5</v>
          </cell>
          <cell r="N177">
            <v>7</v>
          </cell>
          <cell r="O177">
            <v>74183.2</v>
          </cell>
          <cell r="P177">
            <v>11.2</v>
          </cell>
        </row>
        <row r="178">
          <cell r="A178">
            <v>5.001</v>
          </cell>
          <cell r="C178" t="str">
            <v>MUSCULOSKELETAL MALIGNANCY &amp; PATHOL FRACTURE D/T MUSCSKEL MALIG                   </v>
          </cell>
          <cell r="D178">
            <v>1</v>
          </cell>
          <cell r="E178">
            <v>4</v>
          </cell>
          <cell r="F178">
            <v>0</v>
          </cell>
          <cell r="G178">
            <v>0</v>
          </cell>
          <cell r="H178">
            <v>0</v>
          </cell>
          <cell r="I178">
            <v>5</v>
          </cell>
          <cell r="J178">
            <v>4</v>
          </cell>
          <cell r="K178">
            <v>1</v>
          </cell>
          <cell r="L178">
            <v>0</v>
          </cell>
          <cell r="M178">
            <v>5</v>
          </cell>
          <cell r="N178">
            <v>22.2</v>
          </cell>
          <cell r="O178">
            <v>117096.8</v>
          </cell>
          <cell r="P178">
            <v>16.8</v>
          </cell>
        </row>
        <row r="179">
          <cell r="A179">
            <v>5.001</v>
          </cell>
          <cell r="C179" t="str">
            <v>HIP JOINT REPLACEMENT                                                             </v>
          </cell>
          <cell r="D179">
            <v>4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5</v>
          </cell>
          <cell r="J179">
            <v>3</v>
          </cell>
          <cell r="K179">
            <v>2</v>
          </cell>
          <cell r="L179">
            <v>0</v>
          </cell>
          <cell r="M179">
            <v>5</v>
          </cell>
          <cell r="N179">
            <v>16.6</v>
          </cell>
          <cell r="O179">
            <v>144749.6</v>
          </cell>
          <cell r="P179">
            <v>15.2</v>
          </cell>
        </row>
        <row r="180">
          <cell r="A180">
            <v>5.001</v>
          </cell>
          <cell r="C180" t="str">
            <v>HYPERTENSION                                                                      </v>
          </cell>
          <cell r="D180">
            <v>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5</v>
          </cell>
          <cell r="J180">
            <v>4</v>
          </cell>
          <cell r="K180">
            <v>1</v>
          </cell>
          <cell r="L180">
            <v>0</v>
          </cell>
          <cell r="M180">
            <v>5</v>
          </cell>
          <cell r="N180">
            <v>3.8</v>
          </cell>
          <cell r="O180">
            <v>26329.8</v>
          </cell>
          <cell r="P180">
            <v>10.2</v>
          </cell>
        </row>
        <row r="181">
          <cell r="A181">
            <v>5.001</v>
          </cell>
          <cell r="C181" t="str">
            <v>RESPIRATORY MALIGNANCY                                                            </v>
          </cell>
          <cell r="D181">
            <v>4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5</v>
          </cell>
          <cell r="J181">
            <v>4</v>
          </cell>
          <cell r="K181">
            <v>1</v>
          </cell>
          <cell r="L181">
            <v>0</v>
          </cell>
          <cell r="M181">
            <v>5</v>
          </cell>
          <cell r="N181">
            <v>2.4</v>
          </cell>
          <cell r="O181">
            <v>20421.8</v>
          </cell>
          <cell r="P181">
            <v>17</v>
          </cell>
        </row>
        <row r="182">
          <cell r="A182">
            <v>5.001</v>
          </cell>
          <cell r="C182" t="str">
            <v>OTHER MAJOR HEAD &amp; NECK PROCEDURES                                                </v>
          </cell>
          <cell r="D182">
            <v>4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5</v>
          </cell>
          <cell r="J182">
            <v>3</v>
          </cell>
          <cell r="K182">
            <v>2</v>
          </cell>
          <cell r="L182">
            <v>0</v>
          </cell>
          <cell r="M182">
            <v>5</v>
          </cell>
          <cell r="N182">
            <v>1.4</v>
          </cell>
          <cell r="O182">
            <v>80138.8</v>
          </cell>
          <cell r="P182">
            <v>8.4</v>
          </cell>
        </row>
        <row r="183">
          <cell r="A183">
            <v>5.001</v>
          </cell>
          <cell r="C183" t="str">
            <v>EYE PROCEDURES EXCEPT ORBIT                                                       </v>
          </cell>
          <cell r="D183">
            <v>4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5</v>
          </cell>
          <cell r="J183">
            <v>3</v>
          </cell>
          <cell r="K183">
            <v>2</v>
          </cell>
          <cell r="L183">
            <v>0</v>
          </cell>
          <cell r="M183">
            <v>5</v>
          </cell>
          <cell r="N183">
            <v>4.6</v>
          </cell>
          <cell r="O183">
            <v>45976.8</v>
          </cell>
          <cell r="P183">
            <v>11.8</v>
          </cell>
        </row>
        <row r="184">
          <cell r="A184">
            <v>5</v>
          </cell>
          <cell r="C184" t="str">
            <v>TRACHEOSTOMY W LONG TERM MECHANICAL VENTILATION W/O EXTENSIVE PROCEDURE           </v>
          </cell>
          <cell r="D184">
            <v>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5</v>
          </cell>
          <cell r="J184">
            <v>5</v>
          </cell>
          <cell r="K184">
            <v>0</v>
          </cell>
          <cell r="L184">
            <v>0</v>
          </cell>
          <cell r="M184">
            <v>5</v>
          </cell>
          <cell r="N184">
            <v>111.2</v>
          </cell>
          <cell r="O184">
            <v>822817.4</v>
          </cell>
          <cell r="P184">
            <v>0.4</v>
          </cell>
        </row>
        <row r="185">
          <cell r="A185">
            <v>4.001</v>
          </cell>
          <cell r="C185" t="str">
            <v>OTHER AFTERCARE &amp; CONVALESCENCE                                                   </v>
          </cell>
          <cell r="D185">
            <v>4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4</v>
          </cell>
          <cell r="J185">
            <v>3</v>
          </cell>
          <cell r="K185">
            <v>1</v>
          </cell>
          <cell r="L185">
            <v>0</v>
          </cell>
          <cell r="M185">
            <v>4</v>
          </cell>
          <cell r="N185">
            <v>1.5</v>
          </cell>
          <cell r="O185">
            <v>14582.25</v>
          </cell>
          <cell r="P185">
            <v>3.3</v>
          </cell>
        </row>
        <row r="186">
          <cell r="A186">
            <v>4.001</v>
          </cell>
          <cell r="C186" t="str">
            <v>ALCOHOL ABUSE &amp; DEPENDENCE                                                        </v>
          </cell>
          <cell r="D186">
            <v>4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4</v>
          </cell>
          <cell r="J186">
            <v>3</v>
          </cell>
          <cell r="K186">
            <v>1</v>
          </cell>
          <cell r="L186">
            <v>0</v>
          </cell>
          <cell r="M186">
            <v>4</v>
          </cell>
          <cell r="N186">
            <v>1</v>
          </cell>
          <cell r="O186">
            <v>11272.75</v>
          </cell>
          <cell r="P186">
            <v>12.8</v>
          </cell>
        </row>
        <row r="187">
          <cell r="A187">
            <v>4.001</v>
          </cell>
          <cell r="C187" t="str">
            <v>EATING DISORDERS                                                                  </v>
          </cell>
          <cell r="D187">
            <v>4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4</v>
          </cell>
          <cell r="J187">
            <v>1</v>
          </cell>
          <cell r="K187">
            <v>3</v>
          </cell>
          <cell r="L187">
            <v>0</v>
          </cell>
          <cell r="M187">
            <v>4</v>
          </cell>
          <cell r="N187">
            <v>2.5</v>
          </cell>
          <cell r="O187">
            <v>14331.5</v>
          </cell>
          <cell r="P187">
            <v>15.5</v>
          </cell>
        </row>
        <row r="188">
          <cell r="A188">
            <v>4.001</v>
          </cell>
          <cell r="C188" t="str">
            <v>MAJOR DEPRESSIVE DISORDERS &amp; OTHER/UNSPECIFIED PSYCHOSES                          </v>
          </cell>
          <cell r="D188">
            <v>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4</v>
          </cell>
          <cell r="J188">
            <v>3</v>
          </cell>
          <cell r="K188">
            <v>1</v>
          </cell>
          <cell r="L188">
            <v>0</v>
          </cell>
          <cell r="M188">
            <v>4</v>
          </cell>
          <cell r="N188">
            <v>5.8</v>
          </cell>
          <cell r="O188">
            <v>26235.5</v>
          </cell>
          <cell r="P188">
            <v>13</v>
          </cell>
        </row>
        <row r="189">
          <cell r="A189">
            <v>4.001</v>
          </cell>
          <cell r="C189" t="str">
            <v>OTHER O.R. PROCEDURES FOR LYMPHATIC/HEMATOPOIETIC/OTHER NEOPLASMS                 </v>
          </cell>
          <cell r="D189">
            <v>4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4</v>
          </cell>
          <cell r="J189">
            <v>2</v>
          </cell>
          <cell r="K189">
            <v>2</v>
          </cell>
          <cell r="L189">
            <v>0</v>
          </cell>
          <cell r="M189">
            <v>4</v>
          </cell>
          <cell r="N189">
            <v>33.5</v>
          </cell>
          <cell r="O189">
            <v>241969.75</v>
          </cell>
          <cell r="P189">
            <v>2.8</v>
          </cell>
        </row>
        <row r="190">
          <cell r="A190">
            <v>4.001</v>
          </cell>
          <cell r="C190" t="str">
            <v>NEONATE BWT &lt;1500G W MAJOR PROCEDURE                                              </v>
          </cell>
          <cell r="D190">
            <v>4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4</v>
          </cell>
          <cell r="J190">
            <v>3</v>
          </cell>
          <cell r="K190">
            <v>1</v>
          </cell>
          <cell r="L190">
            <v>0</v>
          </cell>
          <cell r="M190">
            <v>4</v>
          </cell>
          <cell r="N190">
            <v>13.8</v>
          </cell>
          <cell r="O190">
            <v>144902</v>
          </cell>
          <cell r="P190">
            <v>0</v>
          </cell>
        </row>
        <row r="191">
          <cell r="A191">
            <v>4.001</v>
          </cell>
          <cell r="C191" t="str">
            <v>GASTROINTESTINAL VASCULAR INSUFFICIENCY                                           </v>
          </cell>
          <cell r="D191">
            <v>2</v>
          </cell>
          <cell r="E191">
            <v>2</v>
          </cell>
          <cell r="F191">
            <v>0</v>
          </cell>
          <cell r="G191">
            <v>0</v>
          </cell>
          <cell r="H191">
            <v>0</v>
          </cell>
          <cell r="I191">
            <v>4</v>
          </cell>
          <cell r="J191">
            <v>0</v>
          </cell>
          <cell r="K191">
            <v>4</v>
          </cell>
          <cell r="L191">
            <v>0</v>
          </cell>
          <cell r="M191">
            <v>4</v>
          </cell>
          <cell r="N191">
            <v>8.5</v>
          </cell>
          <cell r="O191">
            <v>54571.25</v>
          </cell>
          <cell r="P191">
            <v>11.3</v>
          </cell>
        </row>
        <row r="192">
          <cell r="A192">
            <v>4.001</v>
          </cell>
          <cell r="C192" t="str">
            <v>MAJOR ESOPHAGEAL DISORDERS                                                        </v>
          </cell>
          <cell r="D192">
            <v>4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4</v>
          </cell>
          <cell r="J192">
            <v>3</v>
          </cell>
          <cell r="K192">
            <v>1</v>
          </cell>
          <cell r="L192">
            <v>0</v>
          </cell>
          <cell r="M192">
            <v>4</v>
          </cell>
          <cell r="N192">
            <v>1.5</v>
          </cell>
          <cell r="O192">
            <v>10681.5</v>
          </cell>
          <cell r="P192">
            <v>7.8</v>
          </cell>
        </row>
        <row r="193">
          <cell r="A193">
            <v>4.001</v>
          </cell>
          <cell r="C193" t="str">
            <v>HEART FAILURE                                                                     </v>
          </cell>
          <cell r="D193">
            <v>3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4</v>
          </cell>
          <cell r="J193">
            <v>1</v>
          </cell>
          <cell r="K193">
            <v>3</v>
          </cell>
          <cell r="L193">
            <v>0</v>
          </cell>
          <cell r="M193">
            <v>4</v>
          </cell>
          <cell r="N193">
            <v>7.5</v>
          </cell>
          <cell r="O193">
            <v>34191.75</v>
          </cell>
          <cell r="P193">
            <v>4.8</v>
          </cell>
        </row>
        <row r="194">
          <cell r="A194">
            <v>4.001</v>
          </cell>
          <cell r="C194" t="str">
            <v>CARDIAC PACEMAKER &amp; DEFIBRILLATOR DEVICE REPLACEMENT                              </v>
          </cell>
          <cell r="D194">
            <v>4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4</v>
          </cell>
          <cell r="J194">
            <v>1</v>
          </cell>
          <cell r="K194">
            <v>3</v>
          </cell>
          <cell r="L194">
            <v>0</v>
          </cell>
          <cell r="M194">
            <v>4</v>
          </cell>
          <cell r="N194">
            <v>1</v>
          </cell>
          <cell r="O194">
            <v>45148</v>
          </cell>
          <cell r="P194">
            <v>8.8</v>
          </cell>
        </row>
        <row r="195">
          <cell r="A195">
            <v>4.001</v>
          </cell>
          <cell r="C195" t="str">
            <v>MAJOR LARYNX &amp; TRACHEA PROCEDURES                                                 </v>
          </cell>
          <cell r="D195">
            <v>4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4</v>
          </cell>
          <cell r="J195">
            <v>3</v>
          </cell>
          <cell r="K195">
            <v>1</v>
          </cell>
          <cell r="L195">
            <v>0</v>
          </cell>
          <cell r="M195">
            <v>4</v>
          </cell>
          <cell r="N195">
            <v>9.3</v>
          </cell>
          <cell r="O195">
            <v>83355.5</v>
          </cell>
          <cell r="P195">
            <v>1.3</v>
          </cell>
        </row>
        <row r="196">
          <cell r="A196">
            <v>4</v>
          </cell>
          <cell r="C196" t="str">
            <v>CRANIOTOMY FOR TRAUMA                                                             </v>
          </cell>
          <cell r="D196">
            <v>4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4</v>
          </cell>
          <cell r="J196">
            <v>4</v>
          </cell>
          <cell r="K196">
            <v>0</v>
          </cell>
          <cell r="L196">
            <v>0</v>
          </cell>
          <cell r="M196">
            <v>4</v>
          </cell>
          <cell r="N196">
            <v>9</v>
          </cell>
          <cell r="O196">
            <v>83007.75</v>
          </cell>
          <cell r="P196">
            <v>8.8</v>
          </cell>
        </row>
        <row r="197">
          <cell r="A197">
            <v>3.001</v>
          </cell>
          <cell r="C197" t="str">
            <v>CRANIOTOMY FOR MULTIPLE SIGNIFICANT TRAUMA                                        </v>
          </cell>
          <cell r="D197">
            <v>3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3</v>
          </cell>
          <cell r="J197">
            <v>2</v>
          </cell>
          <cell r="K197">
            <v>1</v>
          </cell>
          <cell r="L197">
            <v>0</v>
          </cell>
          <cell r="M197">
            <v>3</v>
          </cell>
          <cell r="N197">
            <v>105</v>
          </cell>
          <cell r="O197">
            <v>548644</v>
          </cell>
          <cell r="P197">
            <v>6.3</v>
          </cell>
        </row>
        <row r="198">
          <cell r="A198">
            <v>3.001</v>
          </cell>
          <cell r="C198" t="str">
            <v>INFECTIOUS &amp; PARASITIC DISEASES INCLUDING HIV W O.R. PROCEDURE                    </v>
          </cell>
          <cell r="D198">
            <v>3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3</v>
          </cell>
          <cell r="J198">
            <v>3</v>
          </cell>
          <cell r="K198">
            <v>0</v>
          </cell>
          <cell r="L198">
            <v>0</v>
          </cell>
          <cell r="M198">
            <v>3</v>
          </cell>
          <cell r="N198">
            <v>9.3</v>
          </cell>
          <cell r="O198">
            <v>73241.67</v>
          </cell>
          <cell r="P198">
            <v>11</v>
          </cell>
        </row>
        <row r="199">
          <cell r="A199">
            <v>3.001</v>
          </cell>
          <cell r="C199" t="str">
            <v>LYMPHOMA, MYELOMA &amp; NON-ACUTE LEUKEMIA                                            </v>
          </cell>
          <cell r="D199">
            <v>2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3</v>
          </cell>
          <cell r="J199">
            <v>2</v>
          </cell>
          <cell r="K199">
            <v>1</v>
          </cell>
          <cell r="L199">
            <v>0</v>
          </cell>
          <cell r="M199">
            <v>3</v>
          </cell>
          <cell r="N199">
            <v>3</v>
          </cell>
          <cell r="O199">
            <v>24984</v>
          </cell>
          <cell r="P199">
            <v>15.7</v>
          </cell>
        </row>
        <row r="200">
          <cell r="A200">
            <v>3.001</v>
          </cell>
          <cell r="C200" t="str">
            <v>MAJOR O.R. PROCEDURES FOR LYMPHATIC/HEMATOPOIETIC/OTHER NEOPLASMS                 </v>
          </cell>
          <cell r="D200">
            <v>3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3</v>
          </cell>
          <cell r="J200">
            <v>3</v>
          </cell>
          <cell r="K200">
            <v>0</v>
          </cell>
          <cell r="L200">
            <v>0</v>
          </cell>
          <cell r="M200">
            <v>3</v>
          </cell>
          <cell r="N200">
            <v>12.3</v>
          </cell>
          <cell r="O200">
            <v>122196</v>
          </cell>
          <cell r="P200">
            <v>10.7</v>
          </cell>
        </row>
        <row r="201">
          <cell r="A201">
            <v>3.001</v>
          </cell>
          <cell r="C201" t="str">
            <v>NEONATE BWT 2000-2499G, NORMAL NEWBORN OR NEONATE W OTHER PROBLEM                 </v>
          </cell>
          <cell r="D201">
            <v>3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3</v>
          </cell>
          <cell r="J201">
            <v>1</v>
          </cell>
          <cell r="K201">
            <v>2</v>
          </cell>
          <cell r="L201">
            <v>0</v>
          </cell>
          <cell r="M201">
            <v>3</v>
          </cell>
          <cell r="N201">
            <v>7.3</v>
          </cell>
          <cell r="O201">
            <v>48645.33</v>
          </cell>
          <cell r="P201">
            <v>0</v>
          </cell>
        </row>
        <row r="202">
          <cell r="A202">
            <v>3.001</v>
          </cell>
          <cell r="C202" t="str">
            <v>OTHER BLADDER PROCEDURES                                                          </v>
          </cell>
          <cell r="D202">
            <v>3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3</v>
          </cell>
          <cell r="J202">
            <v>1</v>
          </cell>
          <cell r="K202">
            <v>2</v>
          </cell>
          <cell r="L202">
            <v>0</v>
          </cell>
          <cell r="M202">
            <v>3</v>
          </cell>
          <cell r="N202">
            <v>5.7</v>
          </cell>
          <cell r="O202">
            <v>44669</v>
          </cell>
          <cell r="P202">
            <v>7</v>
          </cell>
        </row>
        <row r="203">
          <cell r="A203">
            <v>3.001</v>
          </cell>
          <cell r="C203" t="str">
            <v>KIDNEY &amp; URINARY TRACT PROCEDURES FOR MALIGNANCY                                  </v>
          </cell>
          <cell r="D203">
            <v>3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3</v>
          </cell>
          <cell r="J203">
            <v>1</v>
          </cell>
          <cell r="K203">
            <v>2</v>
          </cell>
          <cell r="L203">
            <v>0</v>
          </cell>
          <cell r="M203">
            <v>3</v>
          </cell>
          <cell r="N203">
            <v>12</v>
          </cell>
          <cell r="O203">
            <v>110624.67</v>
          </cell>
          <cell r="P203">
            <v>7</v>
          </cell>
        </row>
        <row r="204">
          <cell r="A204">
            <v>3.001</v>
          </cell>
          <cell r="C204" t="str">
            <v>KIDNEY TRANSPLANT                                                                 </v>
          </cell>
          <cell r="D204">
            <v>3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3</v>
          </cell>
          <cell r="J204">
            <v>2</v>
          </cell>
          <cell r="K204">
            <v>1</v>
          </cell>
          <cell r="L204">
            <v>0</v>
          </cell>
          <cell r="M204">
            <v>3</v>
          </cell>
          <cell r="N204">
            <v>17.3</v>
          </cell>
          <cell r="O204">
            <v>229012.33</v>
          </cell>
          <cell r="P204">
            <v>7.7</v>
          </cell>
        </row>
        <row r="205">
          <cell r="A205">
            <v>3.001</v>
          </cell>
          <cell r="C205" t="str">
            <v>PROCEDURES FOR OBESITY                                                            </v>
          </cell>
          <cell r="D205">
            <v>1</v>
          </cell>
          <cell r="E205">
            <v>2</v>
          </cell>
          <cell r="F205">
            <v>0</v>
          </cell>
          <cell r="G205">
            <v>0</v>
          </cell>
          <cell r="H205">
            <v>0</v>
          </cell>
          <cell r="I205">
            <v>3</v>
          </cell>
          <cell r="J205">
            <v>3</v>
          </cell>
          <cell r="K205">
            <v>0</v>
          </cell>
          <cell r="L205">
            <v>0</v>
          </cell>
          <cell r="M205">
            <v>3</v>
          </cell>
          <cell r="N205">
            <v>17.7</v>
          </cell>
          <cell r="O205">
            <v>118013.67</v>
          </cell>
          <cell r="P205">
            <v>14</v>
          </cell>
        </row>
        <row r="206">
          <cell r="A206">
            <v>3.001</v>
          </cell>
          <cell r="C206" t="str">
            <v>CARDIOMYOPATHY                                                                    </v>
          </cell>
          <cell r="D206">
            <v>3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3</v>
          </cell>
          <cell r="J206">
            <v>1</v>
          </cell>
          <cell r="K206">
            <v>2</v>
          </cell>
          <cell r="L206">
            <v>0</v>
          </cell>
          <cell r="M206">
            <v>3</v>
          </cell>
          <cell r="N206">
            <v>2.7</v>
          </cell>
          <cell r="O206">
            <v>35480.67</v>
          </cell>
          <cell r="P206">
            <v>2</v>
          </cell>
        </row>
        <row r="207">
          <cell r="A207">
            <v>3.001</v>
          </cell>
          <cell r="C207" t="str">
            <v>OTHER CIRCULATORY SYSTEM PROCEDURES                                               </v>
          </cell>
          <cell r="D207">
            <v>3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3</v>
          </cell>
          <cell r="J207">
            <v>0</v>
          </cell>
          <cell r="K207">
            <v>3</v>
          </cell>
          <cell r="L207">
            <v>0</v>
          </cell>
          <cell r="M207">
            <v>3</v>
          </cell>
          <cell r="N207">
            <v>25</v>
          </cell>
          <cell r="O207">
            <v>543076.67</v>
          </cell>
          <cell r="P207">
            <v>6.3</v>
          </cell>
        </row>
        <row r="208">
          <cell r="A208">
            <v>3.001</v>
          </cell>
          <cell r="C208" t="str">
            <v>CARDIAC VALVE PROCEDURES W CARDIAC CATHETERIZATION                                </v>
          </cell>
          <cell r="D208">
            <v>3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</v>
          </cell>
          <cell r="J208">
            <v>1</v>
          </cell>
          <cell r="K208">
            <v>2</v>
          </cell>
          <cell r="L208">
            <v>0</v>
          </cell>
          <cell r="M208">
            <v>3</v>
          </cell>
          <cell r="N208">
            <v>24.3</v>
          </cell>
          <cell r="O208">
            <v>289396</v>
          </cell>
          <cell r="P208">
            <v>6</v>
          </cell>
        </row>
        <row r="209">
          <cell r="A209">
            <v>3.001</v>
          </cell>
          <cell r="C209" t="str">
            <v>MAJOR CHEST &amp; RESPIRATORY TRAUMA                                                  </v>
          </cell>
          <cell r="D209">
            <v>3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3</v>
          </cell>
          <cell r="J209">
            <v>2</v>
          </cell>
          <cell r="K209">
            <v>1</v>
          </cell>
          <cell r="L209">
            <v>0</v>
          </cell>
          <cell r="M209">
            <v>3</v>
          </cell>
          <cell r="N209">
            <v>1.7</v>
          </cell>
          <cell r="O209">
            <v>18029.33</v>
          </cell>
          <cell r="P209">
            <v>11</v>
          </cell>
        </row>
        <row r="210">
          <cell r="A210">
            <v>3.001</v>
          </cell>
          <cell r="C210" t="str">
            <v>VERTIGO &amp; OTHER LABYRINTH DISORDERS                                               </v>
          </cell>
          <cell r="D210">
            <v>3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3</v>
          </cell>
          <cell r="J210">
            <v>0</v>
          </cell>
          <cell r="K210">
            <v>3</v>
          </cell>
          <cell r="L210">
            <v>0</v>
          </cell>
          <cell r="M210">
            <v>3</v>
          </cell>
          <cell r="N210">
            <v>1</v>
          </cell>
          <cell r="O210">
            <v>8332.33</v>
          </cell>
          <cell r="P210">
            <v>14</v>
          </cell>
        </row>
        <row r="211">
          <cell r="A211">
            <v>3</v>
          </cell>
          <cell r="C211" t="str">
            <v>SPINAL DISORDERS &amp; INJURIES                                                       </v>
          </cell>
          <cell r="D211">
            <v>3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3</v>
          </cell>
          <cell r="J211">
            <v>3</v>
          </cell>
          <cell r="K211">
            <v>0</v>
          </cell>
          <cell r="L211">
            <v>0</v>
          </cell>
          <cell r="M211">
            <v>3</v>
          </cell>
          <cell r="N211">
            <v>3.7</v>
          </cell>
          <cell r="O211">
            <v>37244</v>
          </cell>
          <cell r="P211">
            <v>9</v>
          </cell>
        </row>
        <row r="212">
          <cell r="A212">
            <v>2.001</v>
          </cell>
          <cell r="C212" t="str">
            <v>MUSCULOSKELETAL &amp; OTHER PROCEDURES FOR MULTIPLE SIGNIFICANT TRAUMA                </v>
          </cell>
          <cell r="D212">
            <v>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</v>
          </cell>
          <cell r="J212">
            <v>1</v>
          </cell>
          <cell r="K212">
            <v>1</v>
          </cell>
          <cell r="L212">
            <v>0</v>
          </cell>
          <cell r="M212">
            <v>2</v>
          </cell>
          <cell r="N212">
            <v>40</v>
          </cell>
          <cell r="O212">
            <v>221264</v>
          </cell>
          <cell r="P212">
            <v>9</v>
          </cell>
        </row>
        <row r="213">
          <cell r="A213">
            <v>2.001</v>
          </cell>
          <cell r="C213" t="str">
            <v>PARTIAL THICKNESS BURNS W OR W/O SKIN GRAFT                                       </v>
          </cell>
          <cell r="D213">
            <v>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</v>
          </cell>
          <cell r="J213">
            <v>2</v>
          </cell>
          <cell r="K213">
            <v>0</v>
          </cell>
          <cell r="L213">
            <v>0</v>
          </cell>
          <cell r="M213">
            <v>2</v>
          </cell>
          <cell r="N213">
            <v>3</v>
          </cell>
          <cell r="O213">
            <v>17553.5</v>
          </cell>
          <cell r="P213">
            <v>9</v>
          </cell>
        </row>
        <row r="214">
          <cell r="A214">
            <v>2.001</v>
          </cell>
          <cell r="C214" t="str">
            <v>CHILDHOOD BEHAVIORAL DISORDERS                                                    </v>
          </cell>
          <cell r="D214">
            <v>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2</v>
          </cell>
          <cell r="J214">
            <v>1</v>
          </cell>
          <cell r="K214">
            <v>1</v>
          </cell>
          <cell r="L214">
            <v>0</v>
          </cell>
          <cell r="M214">
            <v>2</v>
          </cell>
          <cell r="N214">
            <v>2.5</v>
          </cell>
          <cell r="O214">
            <v>8359.5</v>
          </cell>
          <cell r="P214">
            <v>10</v>
          </cell>
        </row>
        <row r="215">
          <cell r="A215">
            <v>2.001</v>
          </cell>
          <cell r="C215" t="str">
            <v>ADJUSTMENT DISORDERS &amp; NEUROSES EXCEPT DEPRESSIVE DIAGNOSES                       </v>
          </cell>
          <cell r="D215">
            <v>2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</v>
          </cell>
          <cell r="J215">
            <v>2</v>
          </cell>
          <cell r="K215">
            <v>0</v>
          </cell>
          <cell r="L215">
            <v>0</v>
          </cell>
          <cell r="M215">
            <v>2</v>
          </cell>
          <cell r="N215">
            <v>6.5</v>
          </cell>
          <cell r="O215">
            <v>19689</v>
          </cell>
          <cell r="P215">
            <v>13</v>
          </cell>
        </row>
        <row r="216">
          <cell r="A216">
            <v>2.001</v>
          </cell>
          <cell r="C216" t="str">
            <v>DISORDERS OF PERSONALITY &amp; IMPULSE CONTROL                                        </v>
          </cell>
          <cell r="D216">
            <v>2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</v>
          </cell>
          <cell r="J216">
            <v>1</v>
          </cell>
          <cell r="K216">
            <v>1</v>
          </cell>
          <cell r="L216">
            <v>0</v>
          </cell>
          <cell r="M216">
            <v>2</v>
          </cell>
          <cell r="N216">
            <v>6.5</v>
          </cell>
          <cell r="O216">
            <v>22859</v>
          </cell>
          <cell r="P216">
            <v>0</v>
          </cell>
        </row>
        <row r="217">
          <cell r="A217">
            <v>2.001</v>
          </cell>
          <cell r="C217" t="str">
            <v>NEONATE BWT 1500-1999G W OR W/O OTHER SIGNIFICANT CONDITION                       </v>
          </cell>
          <cell r="D217">
            <v>2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2</v>
          </cell>
          <cell r="J217">
            <v>1</v>
          </cell>
          <cell r="K217">
            <v>1</v>
          </cell>
          <cell r="L217">
            <v>0</v>
          </cell>
          <cell r="M217">
            <v>2</v>
          </cell>
          <cell r="N217">
            <v>12</v>
          </cell>
          <cell r="O217">
            <v>86686.5</v>
          </cell>
          <cell r="P217">
            <v>0</v>
          </cell>
        </row>
        <row r="218">
          <cell r="A218">
            <v>2.001</v>
          </cell>
          <cell r="C218" t="str">
            <v>NEONATE BIRTHWT 1500-1999G W MAJOR ANOMALY                                        </v>
          </cell>
          <cell r="D218">
            <v>2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</v>
          </cell>
          <cell r="J218">
            <v>1</v>
          </cell>
          <cell r="K218">
            <v>1</v>
          </cell>
          <cell r="L218">
            <v>0</v>
          </cell>
          <cell r="M218">
            <v>2</v>
          </cell>
          <cell r="N218">
            <v>28</v>
          </cell>
          <cell r="O218">
            <v>212977</v>
          </cell>
          <cell r="P218">
            <v>0</v>
          </cell>
        </row>
        <row r="219">
          <cell r="A219">
            <v>2.001</v>
          </cell>
          <cell r="C219" t="str">
            <v>NEONATE BIRTHWT 750-999G W/O MAJOR PROCEDURE                                      </v>
          </cell>
          <cell r="D219">
            <v>2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2</v>
          </cell>
          <cell r="J219">
            <v>2</v>
          </cell>
          <cell r="K219">
            <v>0</v>
          </cell>
          <cell r="L219">
            <v>0</v>
          </cell>
          <cell r="M219">
            <v>2</v>
          </cell>
          <cell r="N219">
            <v>12</v>
          </cell>
          <cell r="O219">
            <v>118490.5</v>
          </cell>
          <cell r="P219">
            <v>0</v>
          </cell>
        </row>
        <row r="220">
          <cell r="A220">
            <v>2.001</v>
          </cell>
          <cell r="C220" t="str">
            <v>NEONATE, TRANSFERRED &lt;5 DAYS OLD, NOT BORN HERE                                   </v>
          </cell>
          <cell r="D220">
            <v>2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2</v>
          </cell>
          <cell r="J220">
            <v>2</v>
          </cell>
          <cell r="K220">
            <v>0</v>
          </cell>
          <cell r="L220">
            <v>0</v>
          </cell>
          <cell r="M220">
            <v>2</v>
          </cell>
          <cell r="N220">
            <v>1</v>
          </cell>
          <cell r="O220">
            <v>21393</v>
          </cell>
          <cell r="P220">
            <v>0</v>
          </cell>
        </row>
        <row r="221">
          <cell r="A221">
            <v>2.001</v>
          </cell>
          <cell r="C221" t="str">
            <v>PENIS PROCEDURES                                                                  </v>
          </cell>
          <cell r="D221">
            <v>2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2</v>
          </cell>
          <cell r="J221">
            <v>2</v>
          </cell>
          <cell r="K221">
            <v>0</v>
          </cell>
          <cell r="L221">
            <v>0</v>
          </cell>
          <cell r="M221">
            <v>2</v>
          </cell>
          <cell r="N221">
            <v>1</v>
          </cell>
          <cell r="O221">
            <v>8299</v>
          </cell>
          <cell r="P221">
            <v>6.5</v>
          </cell>
        </row>
        <row r="222">
          <cell r="A222">
            <v>2.001</v>
          </cell>
          <cell r="C222" t="str">
            <v>RENAL DIALYSIS ACCESS DEVICE PROCEDURE ONLY                                       </v>
          </cell>
          <cell r="D222">
            <v>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2</v>
          </cell>
          <cell r="J222">
            <v>1</v>
          </cell>
          <cell r="K222">
            <v>1</v>
          </cell>
          <cell r="L222">
            <v>0</v>
          </cell>
          <cell r="M222">
            <v>2</v>
          </cell>
          <cell r="N222">
            <v>11.5</v>
          </cell>
          <cell r="O222">
            <v>78350</v>
          </cell>
          <cell r="P222">
            <v>11.5</v>
          </cell>
        </row>
        <row r="223">
          <cell r="A223">
            <v>2.001</v>
          </cell>
          <cell r="C223" t="str">
            <v>THYROID, PARATHYROID &amp; THYROGLOSSAL PROCEDURES                                    </v>
          </cell>
          <cell r="D223">
            <v>2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2</v>
          </cell>
          <cell r="J223">
            <v>2</v>
          </cell>
          <cell r="K223">
            <v>0</v>
          </cell>
          <cell r="L223">
            <v>0</v>
          </cell>
          <cell r="M223">
            <v>2</v>
          </cell>
          <cell r="N223">
            <v>2</v>
          </cell>
          <cell r="O223">
            <v>24699.5</v>
          </cell>
          <cell r="P223">
            <v>10.5</v>
          </cell>
        </row>
        <row r="224">
          <cell r="A224">
            <v>2.001</v>
          </cell>
          <cell r="C224" t="str">
            <v>FRACTURE OF PELVIS OR DISLOCATION OF HIP                                          </v>
          </cell>
          <cell r="D224">
            <v>2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2</v>
          </cell>
          <cell r="J224">
            <v>1</v>
          </cell>
          <cell r="K224">
            <v>1</v>
          </cell>
          <cell r="L224">
            <v>0</v>
          </cell>
          <cell r="M224">
            <v>2</v>
          </cell>
          <cell r="N224">
            <v>1.5</v>
          </cell>
          <cell r="O224">
            <v>11267.5</v>
          </cell>
          <cell r="P224">
            <v>13.5</v>
          </cell>
        </row>
        <row r="225">
          <cell r="A225">
            <v>2.001</v>
          </cell>
          <cell r="C225" t="str">
            <v>MALIGNANCY OF HEPATOBILIARY SYSTEM &amp; PANCREAS                                     </v>
          </cell>
          <cell r="D225">
            <v>2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2</v>
          </cell>
          <cell r="J225">
            <v>2</v>
          </cell>
          <cell r="K225">
            <v>0</v>
          </cell>
          <cell r="L225">
            <v>0</v>
          </cell>
          <cell r="M225">
            <v>2</v>
          </cell>
          <cell r="N225">
            <v>5.5</v>
          </cell>
          <cell r="O225">
            <v>37548.5</v>
          </cell>
          <cell r="P225">
            <v>5.5</v>
          </cell>
        </row>
        <row r="226">
          <cell r="A226">
            <v>2.001</v>
          </cell>
          <cell r="C226" t="str">
            <v>CHOLECYSTECTOMY EXCEPT LAPAROSCOPIC                                               </v>
          </cell>
          <cell r="D226">
            <v>2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2</v>
          </cell>
          <cell r="J226">
            <v>2</v>
          </cell>
          <cell r="K226">
            <v>0</v>
          </cell>
          <cell r="L226">
            <v>0</v>
          </cell>
          <cell r="M226">
            <v>2</v>
          </cell>
          <cell r="N226">
            <v>2.5</v>
          </cell>
          <cell r="O226">
            <v>24749</v>
          </cell>
          <cell r="P226">
            <v>16.5</v>
          </cell>
        </row>
        <row r="227">
          <cell r="A227">
            <v>2.001</v>
          </cell>
          <cell r="C227" t="str">
            <v>PERM CARDIAC PACEMAKER IMPLANT W/O AMI, HEART FAILURE OR SHOCK                    </v>
          </cell>
          <cell r="D227">
            <v>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2</v>
          </cell>
          <cell r="J227">
            <v>1</v>
          </cell>
          <cell r="K227">
            <v>1</v>
          </cell>
          <cell r="L227">
            <v>0</v>
          </cell>
          <cell r="M227">
            <v>2</v>
          </cell>
          <cell r="N227">
            <v>4</v>
          </cell>
          <cell r="O227">
            <v>101704.5</v>
          </cell>
          <cell r="P227">
            <v>11</v>
          </cell>
        </row>
        <row r="228">
          <cell r="A228">
            <v>2.001</v>
          </cell>
          <cell r="C228" t="str">
            <v>CARDIAC DEFIBRILLATOR &amp; HEART ASSIST IMPLANT                                      </v>
          </cell>
          <cell r="D228">
            <v>2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2</v>
          </cell>
          <cell r="J228">
            <v>1</v>
          </cell>
          <cell r="K228">
            <v>1</v>
          </cell>
          <cell r="L228">
            <v>0</v>
          </cell>
          <cell r="M228">
            <v>2</v>
          </cell>
          <cell r="N228">
            <v>43.5</v>
          </cell>
          <cell r="O228">
            <v>356845.5</v>
          </cell>
          <cell r="P228">
            <v>13.5</v>
          </cell>
        </row>
        <row r="229">
          <cell r="A229">
            <v>2.001</v>
          </cell>
          <cell r="C229" t="str">
            <v>ORBITAL PROCEDURES                                                                </v>
          </cell>
          <cell r="D229">
            <v>2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2</v>
          </cell>
          <cell r="J229">
            <v>2</v>
          </cell>
          <cell r="K229">
            <v>0</v>
          </cell>
          <cell r="L229">
            <v>0</v>
          </cell>
          <cell r="M229">
            <v>2</v>
          </cell>
          <cell r="N229">
            <v>2</v>
          </cell>
          <cell r="O229">
            <v>17348.5</v>
          </cell>
          <cell r="P229">
            <v>9</v>
          </cell>
        </row>
        <row r="230">
          <cell r="A230">
            <v>2</v>
          </cell>
          <cell r="C230" t="str">
            <v>INTRACRANIAL HEMORRHAGE                                                           </v>
          </cell>
          <cell r="D230">
            <v>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</v>
          </cell>
          <cell r="J230">
            <v>1</v>
          </cell>
          <cell r="K230">
            <v>1</v>
          </cell>
          <cell r="L230">
            <v>0</v>
          </cell>
          <cell r="M230">
            <v>2</v>
          </cell>
          <cell r="N230">
            <v>2.5</v>
          </cell>
          <cell r="O230">
            <v>22970.5</v>
          </cell>
          <cell r="P230">
            <v>0</v>
          </cell>
        </row>
        <row r="231">
          <cell r="A231">
            <v>1.001</v>
          </cell>
          <cell r="C231" t="str">
            <v>PRINCIPAL DIAGNOSIS INVALID AS DISCHARGE DIAGNOSIS                                </v>
          </cell>
          <cell r="D231">
            <v>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1</v>
          </cell>
          <cell r="J231">
            <v>1</v>
          </cell>
          <cell r="K231">
            <v>0</v>
          </cell>
          <cell r="L231">
            <v>0</v>
          </cell>
          <cell r="M231">
            <v>1</v>
          </cell>
          <cell r="N231">
            <v>2</v>
          </cell>
          <cell r="O231">
            <v>7777</v>
          </cell>
          <cell r="P231">
            <v>0</v>
          </cell>
        </row>
        <row r="232">
          <cell r="A232">
            <v>1.001</v>
          </cell>
          <cell r="C232" t="str">
            <v>EXTENSIVE ABDOMINAL/THORACIC PROCEDURES FOR MULT SIGNIFICANT TRAUMA               </v>
          </cell>
          <cell r="D232">
            <v>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</v>
          </cell>
          <cell r="J232">
            <v>0</v>
          </cell>
          <cell r="K232">
            <v>1</v>
          </cell>
          <cell r="L232">
            <v>0</v>
          </cell>
          <cell r="M232">
            <v>1</v>
          </cell>
          <cell r="N232">
            <v>10</v>
          </cell>
          <cell r="O232">
            <v>112619</v>
          </cell>
          <cell r="P232">
            <v>9</v>
          </cell>
        </row>
        <row r="233">
          <cell r="A233">
            <v>1.001</v>
          </cell>
          <cell r="C233" t="str">
            <v>HIV W ONE SIGNIF HIV COND OR W/O SIGNIF RELATED COND                              </v>
          </cell>
          <cell r="D233">
            <v>1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1</v>
          </cell>
          <cell r="J233">
            <v>0</v>
          </cell>
          <cell r="K233">
            <v>1</v>
          </cell>
          <cell r="L233">
            <v>0</v>
          </cell>
          <cell r="M233">
            <v>1</v>
          </cell>
          <cell r="N233">
            <v>1</v>
          </cell>
          <cell r="O233">
            <v>7540</v>
          </cell>
          <cell r="P233">
            <v>16</v>
          </cell>
        </row>
        <row r="234">
          <cell r="A234">
            <v>1.001</v>
          </cell>
          <cell r="C234" t="str">
            <v>HIV W MAJOR HIV RELATED CONDITION                                                 </v>
          </cell>
          <cell r="D234">
            <v>1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1</v>
          </cell>
          <cell r="J234">
            <v>1</v>
          </cell>
          <cell r="K234">
            <v>0</v>
          </cell>
          <cell r="L234">
            <v>0</v>
          </cell>
          <cell r="M234">
            <v>1</v>
          </cell>
          <cell r="N234">
            <v>2</v>
          </cell>
          <cell r="O234">
            <v>9674</v>
          </cell>
          <cell r="P234">
            <v>14</v>
          </cell>
        </row>
        <row r="235">
          <cell r="A235">
            <v>1.001</v>
          </cell>
          <cell r="C235" t="str">
            <v>NEONATAL AFTERCARE                                                                </v>
          </cell>
          <cell r="D235">
            <v>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1</v>
          </cell>
          <cell r="K235">
            <v>0</v>
          </cell>
          <cell r="L235">
            <v>0</v>
          </cell>
          <cell r="M235">
            <v>1</v>
          </cell>
          <cell r="N235">
            <v>2</v>
          </cell>
          <cell r="O235">
            <v>17389</v>
          </cell>
          <cell r="P235">
            <v>0</v>
          </cell>
        </row>
        <row r="236">
          <cell r="A236">
            <v>1.001</v>
          </cell>
          <cell r="C236" t="str">
            <v>EXTENSIVE 3RD DEGREE OR FULL THICKNESS BURNS W/O SKIN GRAFT                       </v>
          </cell>
          <cell r="D236">
            <v>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1</v>
          </cell>
          <cell r="J236">
            <v>1</v>
          </cell>
          <cell r="K236">
            <v>0</v>
          </cell>
          <cell r="L236">
            <v>0</v>
          </cell>
          <cell r="M236">
            <v>1</v>
          </cell>
          <cell r="N236">
            <v>1</v>
          </cell>
          <cell r="O236">
            <v>6074</v>
          </cell>
          <cell r="P236">
            <v>1</v>
          </cell>
        </row>
        <row r="237">
          <cell r="A237">
            <v>1.001</v>
          </cell>
          <cell r="C237" t="str">
            <v>FULL THICKNESS BURNS W SKIN GRAFT                                                 </v>
          </cell>
          <cell r="D237">
            <v>1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0</v>
          </cell>
          <cell r="L237">
            <v>0</v>
          </cell>
          <cell r="M237">
            <v>1</v>
          </cell>
          <cell r="N237">
            <v>2</v>
          </cell>
          <cell r="O237">
            <v>18596</v>
          </cell>
          <cell r="P237">
            <v>15</v>
          </cell>
        </row>
        <row r="238">
          <cell r="A238">
            <v>1.001</v>
          </cell>
          <cell r="C238" t="str">
            <v>DEPRESSION EXCEPT MAJOR DEPRESSIVE DISORDER                                       </v>
          </cell>
          <cell r="D238">
            <v>1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1</v>
          </cell>
          <cell r="J238">
            <v>1</v>
          </cell>
          <cell r="K238">
            <v>0</v>
          </cell>
          <cell r="L238">
            <v>0</v>
          </cell>
          <cell r="M238">
            <v>1</v>
          </cell>
          <cell r="N238">
            <v>2</v>
          </cell>
          <cell r="O238">
            <v>3039</v>
          </cell>
          <cell r="P238">
            <v>13</v>
          </cell>
        </row>
        <row r="239">
          <cell r="A239">
            <v>1.001</v>
          </cell>
          <cell r="C239" t="str">
            <v>NEONATE BWT 2000-2499G W MAJOR ANOMALY                                            </v>
          </cell>
          <cell r="D239">
            <v>1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1</v>
          </cell>
          <cell r="J239">
            <v>1</v>
          </cell>
          <cell r="K239">
            <v>0</v>
          </cell>
          <cell r="L239">
            <v>0</v>
          </cell>
          <cell r="M239">
            <v>1</v>
          </cell>
          <cell r="N239">
            <v>9</v>
          </cell>
          <cell r="O239">
            <v>63166</v>
          </cell>
          <cell r="P239">
            <v>0</v>
          </cell>
        </row>
        <row r="240">
          <cell r="A240">
            <v>1.001</v>
          </cell>
          <cell r="C240" t="str">
            <v>NEONATE BIRTHWT 1000-1249G W OR W/O OTHER SIGNIFICANT CONDITION                   </v>
          </cell>
          <cell r="D240">
            <v>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</v>
          </cell>
          <cell r="J240">
            <v>0</v>
          </cell>
          <cell r="K240">
            <v>1</v>
          </cell>
          <cell r="L240">
            <v>0</v>
          </cell>
          <cell r="M240">
            <v>1</v>
          </cell>
          <cell r="N240">
            <v>47</v>
          </cell>
          <cell r="O240">
            <v>316848</v>
          </cell>
          <cell r="P240">
            <v>0</v>
          </cell>
        </row>
        <row r="241">
          <cell r="A241">
            <v>1.001</v>
          </cell>
          <cell r="C241" t="str">
            <v>NEONATE BWT 1000-1249G W RESP DIST SYND/OTH MAJ RESP OR MAJ ANOM                  </v>
          </cell>
          <cell r="D241">
            <v>1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1</v>
          </cell>
          <cell r="J241">
            <v>1</v>
          </cell>
          <cell r="K241">
            <v>0</v>
          </cell>
          <cell r="L241">
            <v>0</v>
          </cell>
          <cell r="M241">
            <v>1</v>
          </cell>
          <cell r="N241">
            <v>27</v>
          </cell>
          <cell r="O241">
            <v>250097</v>
          </cell>
          <cell r="P241">
            <v>0</v>
          </cell>
        </row>
        <row r="242">
          <cell r="A242">
            <v>1.001</v>
          </cell>
          <cell r="C242" t="str">
            <v>NEONATE BIRTHWT 500-749G W/O MAJOR PROCEDURE                                      </v>
          </cell>
          <cell r="D242">
            <v>1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</v>
          </cell>
          <cell r="J242">
            <v>1</v>
          </cell>
          <cell r="K242">
            <v>0</v>
          </cell>
          <cell r="L242">
            <v>0</v>
          </cell>
          <cell r="M242">
            <v>1</v>
          </cell>
          <cell r="N242">
            <v>1</v>
          </cell>
          <cell r="O242">
            <v>12063</v>
          </cell>
          <cell r="P242">
            <v>0</v>
          </cell>
        </row>
        <row r="243">
          <cell r="A243">
            <v>1.001</v>
          </cell>
          <cell r="C243" t="str">
            <v>NEONATE, TRANSFERRED &lt; 5 DAYS OLD, BORN HERE                                      </v>
          </cell>
          <cell r="D243">
            <v>1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1</v>
          </cell>
          <cell r="J243">
            <v>1</v>
          </cell>
          <cell r="K243">
            <v>0</v>
          </cell>
          <cell r="L243">
            <v>0</v>
          </cell>
          <cell r="M243">
            <v>1</v>
          </cell>
          <cell r="N243">
            <v>2</v>
          </cell>
          <cell r="O243">
            <v>24260</v>
          </cell>
          <cell r="P243">
            <v>0</v>
          </cell>
        </row>
        <row r="244">
          <cell r="A244">
            <v>1.001</v>
          </cell>
          <cell r="C244" t="str">
            <v>FEMALE REPRODUCTIVE SYSTEM MALIGNANCY                                             </v>
          </cell>
          <cell r="D244">
            <v>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1</v>
          </cell>
          <cell r="J244">
            <v>0</v>
          </cell>
          <cell r="K244">
            <v>1</v>
          </cell>
          <cell r="L244">
            <v>0</v>
          </cell>
          <cell r="M244">
            <v>1</v>
          </cell>
          <cell r="N244">
            <v>21</v>
          </cell>
          <cell r="O244">
            <v>135531</v>
          </cell>
          <cell r="P244">
            <v>1</v>
          </cell>
        </row>
        <row r="245">
          <cell r="A245">
            <v>1.001</v>
          </cell>
          <cell r="C245" t="str">
            <v>FEMALE REPRODUCTIVE SYSTEM RECONSTRUCTIVE PROCEDURES                              </v>
          </cell>
          <cell r="D245">
            <v>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1</v>
          </cell>
          <cell r="L245">
            <v>0</v>
          </cell>
          <cell r="M245">
            <v>1</v>
          </cell>
          <cell r="N245">
            <v>4</v>
          </cell>
          <cell r="O245">
            <v>36593</v>
          </cell>
          <cell r="P245">
            <v>12</v>
          </cell>
        </row>
        <row r="246">
          <cell r="A246">
            <v>1.001</v>
          </cell>
          <cell r="C246" t="str">
            <v>PELVIC EVISCERATION, RADICAL HYSTERECTOMY &amp; OTHER RADICAL GYN PROCS               </v>
          </cell>
          <cell r="D246">
            <v>1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0</v>
          </cell>
          <cell r="K246">
            <v>1</v>
          </cell>
          <cell r="L246">
            <v>0</v>
          </cell>
          <cell r="M246">
            <v>1</v>
          </cell>
          <cell r="N246">
            <v>9</v>
          </cell>
          <cell r="O246">
            <v>66086</v>
          </cell>
          <cell r="P246">
            <v>13</v>
          </cell>
        </row>
        <row r="247">
          <cell r="A247">
            <v>1.001</v>
          </cell>
          <cell r="C247" t="str">
            <v>KIDNEY &amp; URINARY TRACT MALIGNANCY                                                 </v>
          </cell>
          <cell r="D247">
            <v>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1</v>
          </cell>
          <cell r="J247">
            <v>0</v>
          </cell>
          <cell r="K247">
            <v>1</v>
          </cell>
          <cell r="L247">
            <v>0</v>
          </cell>
          <cell r="M247">
            <v>1</v>
          </cell>
          <cell r="N247">
            <v>13</v>
          </cell>
          <cell r="O247">
            <v>90733</v>
          </cell>
          <cell r="P247">
            <v>12</v>
          </cell>
        </row>
        <row r="248">
          <cell r="A248">
            <v>1.001</v>
          </cell>
          <cell r="C248" t="str">
            <v>BREAST PROCEDURES EXCEPT MASTECTOMY                                               </v>
          </cell>
          <cell r="D248">
            <v>1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1</v>
          </cell>
          <cell r="J248">
            <v>0</v>
          </cell>
          <cell r="K248">
            <v>1</v>
          </cell>
          <cell r="L248">
            <v>0</v>
          </cell>
          <cell r="M248">
            <v>1</v>
          </cell>
          <cell r="N248">
            <v>1</v>
          </cell>
          <cell r="O248">
            <v>34196</v>
          </cell>
          <cell r="P248">
            <v>16</v>
          </cell>
        </row>
        <row r="249">
          <cell r="A249">
            <v>1.001</v>
          </cell>
          <cell r="C249" t="str">
            <v>MALFUNCTION, REACTION, COMPLIC OF ORTHOPEDIC DEVICE OR PROCEDURE                  </v>
          </cell>
          <cell r="D249">
            <v>1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1</v>
          </cell>
          <cell r="J249">
            <v>0</v>
          </cell>
          <cell r="K249">
            <v>1</v>
          </cell>
          <cell r="L249">
            <v>0</v>
          </cell>
          <cell r="M249">
            <v>1</v>
          </cell>
          <cell r="N249">
            <v>42</v>
          </cell>
          <cell r="O249">
            <v>141272</v>
          </cell>
          <cell r="P249">
            <v>8</v>
          </cell>
        </row>
        <row r="250">
          <cell r="A250">
            <v>1.001</v>
          </cell>
          <cell r="C250" t="str">
            <v>SKIN GRAFT, EXCEPT HAND, FOR MUSCULOSKELETAL &amp; CONNECTIVE TISSUE DIAGNOSES        </v>
          </cell>
          <cell r="D250">
            <v>1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1</v>
          </cell>
          <cell r="J250">
            <v>0</v>
          </cell>
          <cell r="K250">
            <v>1</v>
          </cell>
          <cell r="L250">
            <v>0</v>
          </cell>
          <cell r="M250">
            <v>1</v>
          </cell>
          <cell r="N250">
            <v>2</v>
          </cell>
          <cell r="O250">
            <v>22736</v>
          </cell>
          <cell r="P250">
            <v>1</v>
          </cell>
        </row>
        <row r="251">
          <cell r="A251">
            <v>1.001</v>
          </cell>
          <cell r="C251" t="str">
            <v>AMPUTATION OF LOWER LIMB EXCEPT TOES                                              </v>
          </cell>
          <cell r="D251">
            <v>1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1</v>
          </cell>
          <cell r="J251">
            <v>1</v>
          </cell>
          <cell r="K251">
            <v>0</v>
          </cell>
          <cell r="L251">
            <v>0</v>
          </cell>
          <cell r="M251">
            <v>1</v>
          </cell>
          <cell r="N251">
            <v>43</v>
          </cell>
          <cell r="O251">
            <v>220927</v>
          </cell>
          <cell r="P251">
            <v>15</v>
          </cell>
        </row>
        <row r="252">
          <cell r="A252">
            <v>1.001</v>
          </cell>
          <cell r="C252" t="str">
            <v>ANGINA PECTORIS &amp; CORONARY ATHEROSCLEROSIS                                        </v>
          </cell>
          <cell r="D252">
            <v>1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1</v>
          </cell>
          <cell r="J252">
            <v>0</v>
          </cell>
          <cell r="K252">
            <v>1</v>
          </cell>
          <cell r="L252">
            <v>0</v>
          </cell>
          <cell r="M252">
            <v>1</v>
          </cell>
          <cell r="N252">
            <v>77</v>
          </cell>
          <cell r="O252">
            <v>433042</v>
          </cell>
          <cell r="P252">
            <v>1</v>
          </cell>
        </row>
        <row r="253">
          <cell r="A253">
            <v>1.001</v>
          </cell>
          <cell r="C253" t="str">
            <v>CARDIAC ARREST                                                                    </v>
          </cell>
          <cell r="D253">
            <v>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1</v>
          </cell>
          <cell r="J253">
            <v>1</v>
          </cell>
          <cell r="K253">
            <v>0</v>
          </cell>
          <cell r="L253">
            <v>0</v>
          </cell>
          <cell r="M253">
            <v>1</v>
          </cell>
          <cell r="N253">
            <v>2</v>
          </cell>
          <cell r="O253">
            <v>46198</v>
          </cell>
          <cell r="P253">
            <v>0</v>
          </cell>
        </row>
        <row r="254">
          <cell r="A254">
            <v>1.001</v>
          </cell>
          <cell r="C254" t="str">
            <v>CARDIAC PACEMAKER &amp; DEFIBRILLATOR REVISION EXCEPT DEVICE REPLACEMENT              </v>
          </cell>
          <cell r="D254">
            <v>0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1</v>
          </cell>
          <cell r="J254">
            <v>1</v>
          </cell>
          <cell r="K254">
            <v>0</v>
          </cell>
          <cell r="L254">
            <v>0</v>
          </cell>
          <cell r="M254">
            <v>1</v>
          </cell>
          <cell r="N254">
            <v>8</v>
          </cell>
          <cell r="O254">
            <v>92213</v>
          </cell>
          <cell r="P254">
            <v>18</v>
          </cell>
        </row>
        <row r="255">
          <cell r="A255">
            <v>1.001</v>
          </cell>
          <cell r="C255" t="str">
            <v>CHRONIC OBSTRUCTIVE PULMONARY DISEASE                                             </v>
          </cell>
          <cell r="D255">
            <v>1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1</v>
          </cell>
          <cell r="J255">
            <v>1</v>
          </cell>
          <cell r="K255">
            <v>0</v>
          </cell>
          <cell r="L255">
            <v>0</v>
          </cell>
          <cell r="M255">
            <v>1</v>
          </cell>
          <cell r="N255">
            <v>5</v>
          </cell>
          <cell r="O255">
            <v>15337</v>
          </cell>
          <cell r="P255">
            <v>3</v>
          </cell>
        </row>
        <row r="256">
          <cell r="A256">
            <v>1.001</v>
          </cell>
          <cell r="C256" t="str">
            <v>PULMONARY EMBOLISM                                                                </v>
          </cell>
          <cell r="D256">
            <v>1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1</v>
          </cell>
          <cell r="J256">
            <v>1</v>
          </cell>
          <cell r="K256">
            <v>0</v>
          </cell>
          <cell r="L256">
            <v>0</v>
          </cell>
          <cell r="M256">
            <v>1</v>
          </cell>
          <cell r="N256">
            <v>4</v>
          </cell>
          <cell r="O256">
            <v>36181</v>
          </cell>
          <cell r="P256">
            <v>16</v>
          </cell>
        </row>
        <row r="257">
          <cell r="A257">
            <v>1.001</v>
          </cell>
          <cell r="C257" t="str">
            <v>NONSPECIFIC CVA &amp; PRECEREBRAL OCCLUSION W/O INFARCT                               </v>
          </cell>
          <cell r="D257">
            <v>1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1</v>
          </cell>
          <cell r="J257">
            <v>0</v>
          </cell>
          <cell r="K257">
            <v>1</v>
          </cell>
          <cell r="L257">
            <v>0</v>
          </cell>
          <cell r="M257">
            <v>1</v>
          </cell>
          <cell r="N257">
            <v>7</v>
          </cell>
          <cell r="O257">
            <v>50229</v>
          </cell>
          <cell r="P257">
            <v>12</v>
          </cell>
        </row>
        <row r="258">
          <cell r="A258">
            <v>1.001</v>
          </cell>
          <cell r="C258" t="str">
            <v>CVA &amp; PRECEREBRAL OCCLUSION  W INFARCT                                            </v>
          </cell>
          <cell r="D258">
            <v>1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  <cell r="J258">
            <v>0</v>
          </cell>
          <cell r="K258">
            <v>1</v>
          </cell>
          <cell r="L258">
            <v>0</v>
          </cell>
          <cell r="M258">
            <v>1</v>
          </cell>
          <cell r="N258">
            <v>5</v>
          </cell>
          <cell r="O258">
            <v>47552</v>
          </cell>
          <cell r="P258">
            <v>15</v>
          </cell>
        </row>
        <row r="259">
          <cell r="A259">
            <v>1.001</v>
          </cell>
          <cell r="C259" t="str">
            <v>HEART &amp;/OR LUNG TRANSPLANT                                                        </v>
          </cell>
          <cell r="D259">
            <v>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1</v>
          </cell>
          <cell r="J259">
            <v>0</v>
          </cell>
          <cell r="K259">
            <v>1</v>
          </cell>
          <cell r="L259">
            <v>0</v>
          </cell>
          <cell r="M259">
            <v>1</v>
          </cell>
          <cell r="N259">
            <v>42</v>
          </cell>
          <cell r="O259">
            <v>525885</v>
          </cell>
          <cell r="P259">
            <v>0</v>
          </cell>
        </row>
        <row r="260">
          <cell r="I260">
            <v>5687</v>
          </cell>
        </row>
        <row r="261">
          <cell r="I261">
            <v>10200</v>
          </cell>
        </row>
      </sheetData>
      <sheetData sheetId="13">
        <row r="5">
          <cell r="A5">
            <v>5648</v>
          </cell>
          <cell r="B5" t="str">
            <v>drg</v>
          </cell>
          <cell r="C5" t="str">
            <v>NEONATE BIRTHWT &gt;2499G, NORMAL NEWBORN OR NEONATE W OTHER PROBLEM                 </v>
          </cell>
          <cell r="D5">
            <v>5648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5648</v>
          </cell>
          <cell r="J5">
            <v>2871</v>
          </cell>
          <cell r="K5">
            <v>2777</v>
          </cell>
          <cell r="L5">
            <v>0</v>
          </cell>
          <cell r="M5">
            <v>5648</v>
          </cell>
          <cell r="N5">
            <v>2.4</v>
          </cell>
          <cell r="O5">
            <v>3377.24</v>
          </cell>
          <cell r="P5">
            <v>0</v>
          </cell>
        </row>
        <row r="6">
          <cell r="A6">
            <v>4057</v>
          </cell>
          <cell r="C6" t="str">
            <v>VAGINAL DELIVERY                                                                  </v>
          </cell>
          <cell r="D6">
            <v>108</v>
          </cell>
          <cell r="E6">
            <v>3943</v>
          </cell>
          <cell r="F6">
            <v>6</v>
          </cell>
          <cell r="G6">
            <v>0</v>
          </cell>
          <cell r="H6">
            <v>0</v>
          </cell>
          <cell r="I6">
            <v>4057</v>
          </cell>
          <cell r="J6">
            <v>0</v>
          </cell>
          <cell r="K6">
            <v>4057</v>
          </cell>
          <cell r="L6">
            <v>0</v>
          </cell>
          <cell r="M6">
            <v>4057</v>
          </cell>
          <cell r="N6">
            <v>2.5</v>
          </cell>
          <cell r="O6">
            <v>6161.92</v>
          </cell>
          <cell r="P6">
            <v>27.8</v>
          </cell>
        </row>
        <row r="7">
          <cell r="A7">
            <v>2277</v>
          </cell>
          <cell r="C7" t="str">
            <v>CESAREAN DELIVERY                                                                 </v>
          </cell>
          <cell r="D7">
            <v>36</v>
          </cell>
          <cell r="E7">
            <v>2236</v>
          </cell>
          <cell r="F7">
            <v>5</v>
          </cell>
          <cell r="G7">
            <v>0</v>
          </cell>
          <cell r="H7">
            <v>0</v>
          </cell>
          <cell r="I7">
            <v>2277</v>
          </cell>
          <cell r="J7">
            <v>0</v>
          </cell>
          <cell r="K7">
            <v>2277</v>
          </cell>
          <cell r="L7">
            <v>0</v>
          </cell>
          <cell r="M7">
            <v>2277</v>
          </cell>
          <cell r="N7">
            <v>4</v>
          </cell>
          <cell r="O7">
            <v>12888.75</v>
          </cell>
          <cell r="P7">
            <v>29.6</v>
          </cell>
        </row>
        <row r="8">
          <cell r="A8">
            <v>1390</v>
          </cell>
          <cell r="C8" t="str">
            <v>KNEE JOINT REPLACEMENT                                                            </v>
          </cell>
          <cell r="D8">
            <v>0</v>
          </cell>
          <cell r="E8">
            <v>25</v>
          </cell>
          <cell r="F8">
            <v>639</v>
          </cell>
          <cell r="G8">
            <v>726</v>
          </cell>
          <cell r="H8">
            <v>0</v>
          </cell>
          <cell r="I8">
            <v>1390</v>
          </cell>
          <cell r="J8">
            <v>513</v>
          </cell>
          <cell r="K8">
            <v>877</v>
          </cell>
          <cell r="L8">
            <v>0</v>
          </cell>
          <cell r="M8">
            <v>1390</v>
          </cell>
          <cell r="N8">
            <v>3</v>
          </cell>
          <cell r="O8">
            <v>30439.48</v>
          </cell>
          <cell r="P8">
            <v>65</v>
          </cell>
        </row>
        <row r="9">
          <cell r="A9">
            <v>1309</v>
          </cell>
          <cell r="C9" t="str">
            <v>HEART FAILURE                                                                     </v>
          </cell>
          <cell r="D9">
            <v>0</v>
          </cell>
          <cell r="E9">
            <v>55</v>
          </cell>
          <cell r="F9">
            <v>303</v>
          </cell>
          <cell r="G9">
            <v>951</v>
          </cell>
          <cell r="H9">
            <v>0</v>
          </cell>
          <cell r="I9">
            <v>1309</v>
          </cell>
          <cell r="J9">
            <v>651</v>
          </cell>
          <cell r="K9">
            <v>658</v>
          </cell>
          <cell r="L9">
            <v>0</v>
          </cell>
          <cell r="M9">
            <v>1309</v>
          </cell>
          <cell r="N9">
            <v>5.2</v>
          </cell>
          <cell r="O9">
            <v>17936.38</v>
          </cell>
          <cell r="P9">
            <v>73.1</v>
          </cell>
        </row>
        <row r="10">
          <cell r="A10">
            <v>1224</v>
          </cell>
          <cell r="C10" t="str">
            <v>OTHER PNEUMONIA                                                                   </v>
          </cell>
          <cell r="D10">
            <v>18</v>
          </cell>
          <cell r="E10">
            <v>141</v>
          </cell>
          <cell r="F10">
            <v>314</v>
          </cell>
          <cell r="G10">
            <v>751</v>
          </cell>
          <cell r="H10">
            <v>0</v>
          </cell>
          <cell r="I10">
            <v>1224</v>
          </cell>
          <cell r="J10">
            <v>583</v>
          </cell>
          <cell r="K10">
            <v>641</v>
          </cell>
          <cell r="L10">
            <v>0</v>
          </cell>
          <cell r="M10">
            <v>1224</v>
          </cell>
          <cell r="N10">
            <v>5.1</v>
          </cell>
          <cell r="O10">
            <v>17437.41</v>
          </cell>
          <cell r="P10">
            <v>67.7</v>
          </cell>
        </row>
        <row r="11">
          <cell r="A11">
            <v>1155</v>
          </cell>
          <cell r="C11" t="str">
            <v>CHRONIC OBSTRUCTIVE PULMONARY DISEASE                                             </v>
          </cell>
          <cell r="D11">
            <v>0</v>
          </cell>
          <cell r="E11">
            <v>23</v>
          </cell>
          <cell r="F11">
            <v>449</v>
          </cell>
          <cell r="G11">
            <v>683</v>
          </cell>
          <cell r="H11">
            <v>0</v>
          </cell>
          <cell r="I11">
            <v>1155</v>
          </cell>
          <cell r="J11">
            <v>472</v>
          </cell>
          <cell r="K11">
            <v>683</v>
          </cell>
          <cell r="L11">
            <v>0</v>
          </cell>
          <cell r="M11">
            <v>1155</v>
          </cell>
          <cell r="N11">
            <v>4.6</v>
          </cell>
          <cell r="O11">
            <v>15647.22</v>
          </cell>
          <cell r="P11">
            <v>67.6</v>
          </cell>
        </row>
        <row r="12">
          <cell r="A12">
            <v>945</v>
          </cell>
          <cell r="C12" t="str">
            <v>KIDNEY &amp; URINARY TRACT INFECTIONS                                                 </v>
          </cell>
          <cell r="D12">
            <v>15</v>
          </cell>
          <cell r="E12">
            <v>140</v>
          </cell>
          <cell r="F12">
            <v>173</v>
          </cell>
          <cell r="G12">
            <v>617</v>
          </cell>
          <cell r="H12">
            <v>0</v>
          </cell>
          <cell r="I12">
            <v>945</v>
          </cell>
          <cell r="J12">
            <v>229</v>
          </cell>
          <cell r="K12">
            <v>716</v>
          </cell>
          <cell r="L12">
            <v>0</v>
          </cell>
          <cell r="M12">
            <v>945</v>
          </cell>
          <cell r="N12">
            <v>4.5</v>
          </cell>
          <cell r="O12">
            <v>13224.92</v>
          </cell>
          <cell r="P12">
            <v>68</v>
          </cell>
        </row>
        <row r="13">
          <cell r="A13">
            <v>846</v>
          </cell>
          <cell r="C13" t="str">
            <v>HIP JOINT REPLACEMENT                                                             </v>
          </cell>
          <cell r="D13">
            <v>0</v>
          </cell>
          <cell r="E13">
            <v>34</v>
          </cell>
          <cell r="F13">
            <v>335</v>
          </cell>
          <cell r="G13">
            <v>477</v>
          </cell>
          <cell r="H13">
            <v>0</v>
          </cell>
          <cell r="I13">
            <v>846</v>
          </cell>
          <cell r="J13">
            <v>365</v>
          </cell>
          <cell r="K13">
            <v>481</v>
          </cell>
          <cell r="L13">
            <v>0</v>
          </cell>
          <cell r="M13">
            <v>846</v>
          </cell>
          <cell r="N13">
            <v>3.6</v>
          </cell>
          <cell r="O13">
            <v>34780.53</v>
          </cell>
          <cell r="P13">
            <v>67.4</v>
          </cell>
        </row>
        <row r="14">
          <cell r="A14">
            <v>815</v>
          </cell>
          <cell r="C14" t="str">
            <v>MAJOR SMALL &amp; LARGE BOWEL PROCEDURES                                              </v>
          </cell>
          <cell r="D14">
            <v>2</v>
          </cell>
          <cell r="E14">
            <v>120</v>
          </cell>
          <cell r="F14">
            <v>358</v>
          </cell>
          <cell r="G14">
            <v>335</v>
          </cell>
          <cell r="H14">
            <v>0</v>
          </cell>
          <cell r="I14">
            <v>815</v>
          </cell>
          <cell r="J14">
            <v>382</v>
          </cell>
          <cell r="K14">
            <v>433</v>
          </cell>
          <cell r="L14">
            <v>0</v>
          </cell>
          <cell r="M14">
            <v>815</v>
          </cell>
          <cell r="N14">
            <v>8.6</v>
          </cell>
          <cell r="O14">
            <v>40482.1</v>
          </cell>
          <cell r="P14">
            <v>60.6</v>
          </cell>
        </row>
        <row r="15">
          <cell r="A15">
            <v>802</v>
          </cell>
          <cell r="C15" t="str">
            <v>CELLULITIS &amp; OTHER BACTERIAL SKIN INFECTIONS                                      </v>
          </cell>
          <cell r="D15">
            <v>13</v>
          </cell>
          <cell r="E15">
            <v>249</v>
          </cell>
          <cell r="F15">
            <v>303</v>
          </cell>
          <cell r="G15">
            <v>237</v>
          </cell>
          <cell r="H15">
            <v>0</v>
          </cell>
          <cell r="I15">
            <v>802</v>
          </cell>
          <cell r="J15">
            <v>421</v>
          </cell>
          <cell r="K15">
            <v>381</v>
          </cell>
          <cell r="L15">
            <v>0</v>
          </cell>
          <cell r="M15">
            <v>802</v>
          </cell>
          <cell r="N15">
            <v>3.9</v>
          </cell>
          <cell r="O15">
            <v>10927.86</v>
          </cell>
          <cell r="P15">
            <v>54</v>
          </cell>
        </row>
        <row r="16">
          <cell r="A16">
            <v>776</v>
          </cell>
          <cell r="C16" t="str">
            <v>SEPTICEMIA &amp; DISSEMINATED INFECTIONS                                              </v>
          </cell>
          <cell r="D16">
            <v>1</v>
          </cell>
          <cell r="E16">
            <v>59</v>
          </cell>
          <cell r="F16">
            <v>238</v>
          </cell>
          <cell r="G16">
            <v>478</v>
          </cell>
          <cell r="H16">
            <v>0</v>
          </cell>
          <cell r="I16">
            <v>776</v>
          </cell>
          <cell r="J16">
            <v>369</v>
          </cell>
          <cell r="K16">
            <v>407</v>
          </cell>
          <cell r="L16">
            <v>0</v>
          </cell>
          <cell r="M16">
            <v>776</v>
          </cell>
          <cell r="N16">
            <v>8.5</v>
          </cell>
          <cell r="O16">
            <v>38508.45</v>
          </cell>
          <cell r="P16">
            <v>68.8</v>
          </cell>
        </row>
        <row r="17">
          <cell r="A17">
            <v>769</v>
          </cell>
          <cell r="C17" t="str">
            <v>CVA &amp; PRECEREBRAL OCCLUSION  W INFARCT                                            </v>
          </cell>
          <cell r="D17">
            <v>0</v>
          </cell>
          <cell r="E17">
            <v>29</v>
          </cell>
          <cell r="F17">
            <v>204</v>
          </cell>
          <cell r="G17">
            <v>536</v>
          </cell>
          <cell r="H17">
            <v>0</v>
          </cell>
          <cell r="I17">
            <v>769</v>
          </cell>
          <cell r="J17">
            <v>348</v>
          </cell>
          <cell r="K17">
            <v>421</v>
          </cell>
          <cell r="L17">
            <v>0</v>
          </cell>
          <cell r="M17">
            <v>769</v>
          </cell>
          <cell r="N17">
            <v>5.3</v>
          </cell>
          <cell r="O17">
            <v>20701.65</v>
          </cell>
          <cell r="P17">
            <v>71.6</v>
          </cell>
        </row>
        <row r="18">
          <cell r="A18">
            <v>689</v>
          </cell>
          <cell r="C18" t="str">
            <v>REHABILITATION                                                                    </v>
          </cell>
          <cell r="D18">
            <v>0</v>
          </cell>
          <cell r="E18">
            <v>46</v>
          </cell>
          <cell r="F18">
            <v>189</v>
          </cell>
          <cell r="G18">
            <v>454</v>
          </cell>
          <cell r="H18">
            <v>0</v>
          </cell>
          <cell r="I18">
            <v>689</v>
          </cell>
          <cell r="J18">
            <v>318</v>
          </cell>
          <cell r="K18">
            <v>371</v>
          </cell>
          <cell r="L18">
            <v>0</v>
          </cell>
          <cell r="M18">
            <v>689</v>
          </cell>
          <cell r="N18">
            <v>12.5</v>
          </cell>
          <cell r="O18">
            <v>25430.77</v>
          </cell>
          <cell r="P18">
            <v>69</v>
          </cell>
        </row>
        <row r="19">
          <cell r="A19">
            <v>662</v>
          </cell>
          <cell r="C19" t="str">
            <v>CARDIAC ARRHYTHMIA &amp; CONDUCTION DISORDERS                                         </v>
          </cell>
          <cell r="D19">
            <v>1</v>
          </cell>
          <cell r="E19">
            <v>42</v>
          </cell>
          <cell r="F19">
            <v>173</v>
          </cell>
          <cell r="G19">
            <v>446</v>
          </cell>
          <cell r="H19">
            <v>0</v>
          </cell>
          <cell r="I19">
            <v>662</v>
          </cell>
          <cell r="J19">
            <v>338</v>
          </cell>
          <cell r="K19">
            <v>324</v>
          </cell>
          <cell r="L19">
            <v>0</v>
          </cell>
          <cell r="M19">
            <v>662</v>
          </cell>
          <cell r="N19">
            <v>3.5</v>
          </cell>
          <cell r="O19">
            <v>14786.71</v>
          </cell>
          <cell r="P19">
            <v>70.3</v>
          </cell>
        </row>
        <row r="20">
          <cell r="A20">
            <v>654</v>
          </cell>
          <cell r="C20" t="str">
            <v>DORSAL &amp; LUMBAR FUSION PROC EXCEPT FOR CURVATURE OF BACK                          </v>
          </cell>
          <cell r="D20">
            <v>0</v>
          </cell>
          <cell r="E20">
            <v>170</v>
          </cell>
          <cell r="F20">
            <v>332</v>
          </cell>
          <cell r="G20">
            <v>152</v>
          </cell>
          <cell r="H20">
            <v>0</v>
          </cell>
          <cell r="I20">
            <v>654</v>
          </cell>
          <cell r="J20">
            <v>316</v>
          </cell>
          <cell r="K20">
            <v>338</v>
          </cell>
          <cell r="L20">
            <v>0</v>
          </cell>
          <cell r="M20">
            <v>654</v>
          </cell>
          <cell r="N20">
            <v>3.4</v>
          </cell>
          <cell r="O20">
            <v>61867.39</v>
          </cell>
          <cell r="P20">
            <v>53.4</v>
          </cell>
        </row>
        <row r="21">
          <cell r="A21">
            <v>576</v>
          </cell>
          <cell r="C21" t="str">
            <v>PERCUTANEOUS CARDIOVASCULAR PROCEDURES W/O AMI                                    </v>
          </cell>
          <cell r="D21">
            <v>0</v>
          </cell>
          <cell r="E21">
            <v>33</v>
          </cell>
          <cell r="F21">
            <v>256</v>
          </cell>
          <cell r="G21">
            <v>287</v>
          </cell>
          <cell r="H21">
            <v>0</v>
          </cell>
          <cell r="I21">
            <v>576</v>
          </cell>
          <cell r="J21">
            <v>376</v>
          </cell>
          <cell r="K21">
            <v>200</v>
          </cell>
          <cell r="L21">
            <v>0</v>
          </cell>
          <cell r="M21">
            <v>576</v>
          </cell>
          <cell r="N21">
            <v>2.9</v>
          </cell>
          <cell r="O21">
            <v>46041.15</v>
          </cell>
          <cell r="P21">
            <v>64.4</v>
          </cell>
        </row>
        <row r="22">
          <cell r="A22">
            <v>573</v>
          </cell>
          <cell r="C22" t="str">
            <v>RENAL FAILURE                                                                     </v>
          </cell>
          <cell r="D22">
            <v>1</v>
          </cell>
          <cell r="E22">
            <v>48</v>
          </cell>
          <cell r="F22">
            <v>161</v>
          </cell>
          <cell r="G22">
            <v>363</v>
          </cell>
          <cell r="H22">
            <v>0</v>
          </cell>
          <cell r="I22">
            <v>573</v>
          </cell>
          <cell r="J22">
            <v>288</v>
          </cell>
          <cell r="K22">
            <v>285</v>
          </cell>
          <cell r="L22">
            <v>0</v>
          </cell>
          <cell r="M22">
            <v>573</v>
          </cell>
          <cell r="N22">
            <v>5.8</v>
          </cell>
          <cell r="O22">
            <v>19155.23</v>
          </cell>
          <cell r="P22">
            <v>68.7</v>
          </cell>
        </row>
        <row r="23">
          <cell r="A23">
            <v>537</v>
          </cell>
          <cell r="C23" t="str">
            <v>OTHER VASCULAR PROCEDURES                                                         </v>
          </cell>
          <cell r="D23">
            <v>1</v>
          </cell>
          <cell r="E23">
            <v>32</v>
          </cell>
          <cell r="F23">
            <v>189</v>
          </cell>
          <cell r="G23">
            <v>315</v>
          </cell>
          <cell r="H23">
            <v>0</v>
          </cell>
          <cell r="I23">
            <v>537</v>
          </cell>
          <cell r="J23">
            <v>315</v>
          </cell>
          <cell r="K23">
            <v>222</v>
          </cell>
          <cell r="L23">
            <v>0</v>
          </cell>
          <cell r="M23">
            <v>537</v>
          </cell>
          <cell r="N23">
            <v>5.7</v>
          </cell>
          <cell r="O23">
            <v>52577.76</v>
          </cell>
          <cell r="P23">
            <v>66.7</v>
          </cell>
        </row>
        <row r="24">
          <cell r="A24">
            <v>532</v>
          </cell>
          <cell r="C24" t="str">
            <v>OTHER BACK &amp; NECK DISORDERS, FRACTURES &amp; INJURIES                                 </v>
          </cell>
          <cell r="D24">
            <v>4</v>
          </cell>
          <cell r="E24">
            <v>109</v>
          </cell>
          <cell r="F24">
            <v>151</v>
          </cell>
          <cell r="G24">
            <v>268</v>
          </cell>
          <cell r="H24">
            <v>0</v>
          </cell>
          <cell r="I24">
            <v>532</v>
          </cell>
          <cell r="J24">
            <v>232</v>
          </cell>
          <cell r="K24">
            <v>300</v>
          </cell>
          <cell r="L24">
            <v>0</v>
          </cell>
          <cell r="M24">
            <v>532</v>
          </cell>
          <cell r="N24">
            <v>4.6</v>
          </cell>
          <cell r="O24">
            <v>14280.56</v>
          </cell>
          <cell r="P24">
            <v>63.1</v>
          </cell>
        </row>
        <row r="25">
          <cell r="A25">
            <v>516</v>
          </cell>
          <cell r="C25" t="str">
            <v>SYNCOPE &amp; COLLAPSE                                                                </v>
          </cell>
          <cell r="D25">
            <v>3</v>
          </cell>
          <cell r="E25">
            <v>33</v>
          </cell>
          <cell r="F25">
            <v>118</v>
          </cell>
          <cell r="G25">
            <v>362</v>
          </cell>
          <cell r="H25">
            <v>0</v>
          </cell>
          <cell r="I25">
            <v>516</v>
          </cell>
          <cell r="J25">
            <v>238</v>
          </cell>
          <cell r="K25">
            <v>278</v>
          </cell>
          <cell r="L25">
            <v>0</v>
          </cell>
          <cell r="M25">
            <v>516</v>
          </cell>
          <cell r="N25">
            <v>3.1</v>
          </cell>
          <cell r="O25">
            <v>12860.78</v>
          </cell>
          <cell r="P25">
            <v>71.1</v>
          </cell>
        </row>
        <row r="26">
          <cell r="A26">
            <v>505</v>
          </cell>
          <cell r="C26" t="str">
            <v>DIABETES                                                                          </v>
          </cell>
          <cell r="D26">
            <v>2</v>
          </cell>
          <cell r="E26">
            <v>162</v>
          </cell>
          <cell r="F26">
            <v>204</v>
          </cell>
          <cell r="G26">
            <v>137</v>
          </cell>
          <cell r="H26">
            <v>0</v>
          </cell>
          <cell r="I26">
            <v>505</v>
          </cell>
          <cell r="J26">
            <v>247</v>
          </cell>
          <cell r="K26">
            <v>258</v>
          </cell>
          <cell r="L26">
            <v>0</v>
          </cell>
          <cell r="M26">
            <v>505</v>
          </cell>
          <cell r="N26">
            <v>3.3</v>
          </cell>
          <cell r="O26">
            <v>11766.45</v>
          </cell>
          <cell r="P26">
            <v>52.7</v>
          </cell>
        </row>
        <row r="27">
          <cell r="A27">
            <v>503</v>
          </cell>
          <cell r="C27" t="str">
            <v>LAPAROSCOPIC CHOLECYSTECTOMY                                                      </v>
          </cell>
          <cell r="D27">
            <v>2</v>
          </cell>
          <cell r="E27">
            <v>221</v>
          </cell>
          <cell r="F27">
            <v>171</v>
          </cell>
          <cell r="G27">
            <v>109</v>
          </cell>
          <cell r="H27">
            <v>0</v>
          </cell>
          <cell r="I27">
            <v>503</v>
          </cell>
          <cell r="J27">
            <v>133</v>
          </cell>
          <cell r="K27">
            <v>370</v>
          </cell>
          <cell r="L27">
            <v>0</v>
          </cell>
          <cell r="M27">
            <v>503</v>
          </cell>
          <cell r="N27">
            <v>3.3</v>
          </cell>
          <cell r="O27">
            <v>18441.96</v>
          </cell>
          <cell r="P27">
            <v>49.3</v>
          </cell>
        </row>
        <row r="28">
          <cell r="A28">
            <v>493</v>
          </cell>
          <cell r="C28" t="str">
            <v>OTHER DIGESTIVE SYSTEM DIAGNOSES                                                  </v>
          </cell>
          <cell r="D28">
            <v>2</v>
          </cell>
          <cell r="E28">
            <v>134</v>
          </cell>
          <cell r="F28">
            <v>155</v>
          </cell>
          <cell r="G28">
            <v>202</v>
          </cell>
          <cell r="H28">
            <v>0</v>
          </cell>
          <cell r="I28">
            <v>493</v>
          </cell>
          <cell r="J28">
            <v>194</v>
          </cell>
          <cell r="K28">
            <v>299</v>
          </cell>
          <cell r="L28">
            <v>0</v>
          </cell>
          <cell r="M28">
            <v>493</v>
          </cell>
          <cell r="N28">
            <v>4.3</v>
          </cell>
          <cell r="O28">
            <v>14102.19</v>
          </cell>
          <cell r="P28">
            <v>58.5</v>
          </cell>
        </row>
        <row r="29">
          <cell r="A29">
            <v>459</v>
          </cell>
          <cell r="C29" t="str">
            <v>OTHER ANTEPARTUM DIAGNOSES                                                        </v>
          </cell>
          <cell r="D29">
            <v>16</v>
          </cell>
          <cell r="E29">
            <v>443</v>
          </cell>
          <cell r="F29">
            <v>0</v>
          </cell>
          <cell r="G29">
            <v>0</v>
          </cell>
          <cell r="H29">
            <v>0</v>
          </cell>
          <cell r="I29">
            <v>459</v>
          </cell>
          <cell r="J29">
            <v>0</v>
          </cell>
          <cell r="K29">
            <v>459</v>
          </cell>
          <cell r="L29">
            <v>0</v>
          </cell>
          <cell r="M29">
            <v>459</v>
          </cell>
          <cell r="N29">
            <v>4.1</v>
          </cell>
          <cell r="O29">
            <v>7077.9</v>
          </cell>
          <cell r="P29">
            <v>27.2</v>
          </cell>
        </row>
        <row r="30">
          <cell r="A30">
            <v>453.001</v>
          </cell>
          <cell r="C30" t="str">
            <v>MAJOR DEPRESSIVE DISORDERS &amp; OTHER/UNSPECIFIED PSYCHOSES                          </v>
          </cell>
          <cell r="D30">
            <v>0</v>
          </cell>
          <cell r="E30">
            <v>216</v>
          </cell>
          <cell r="F30">
            <v>173</v>
          </cell>
          <cell r="G30">
            <v>64</v>
          </cell>
          <cell r="H30">
            <v>0</v>
          </cell>
          <cell r="I30">
            <v>453</v>
          </cell>
          <cell r="J30">
            <v>188</v>
          </cell>
          <cell r="K30">
            <v>265</v>
          </cell>
          <cell r="L30">
            <v>0</v>
          </cell>
          <cell r="M30">
            <v>453</v>
          </cell>
          <cell r="N30">
            <v>7.1</v>
          </cell>
          <cell r="O30">
            <v>11357.83</v>
          </cell>
          <cell r="P30">
            <v>46.2</v>
          </cell>
        </row>
        <row r="31">
          <cell r="A31">
            <v>453</v>
          </cell>
          <cell r="C31" t="str">
            <v>PERCUTANEOUS CARDIOVASCULAR PROCEDURES W AMI                                      </v>
          </cell>
          <cell r="D31">
            <v>0</v>
          </cell>
          <cell r="E31">
            <v>38</v>
          </cell>
          <cell r="F31">
            <v>237</v>
          </cell>
          <cell r="G31">
            <v>178</v>
          </cell>
          <cell r="H31">
            <v>0</v>
          </cell>
          <cell r="I31">
            <v>453</v>
          </cell>
          <cell r="J31">
            <v>314</v>
          </cell>
          <cell r="K31">
            <v>139</v>
          </cell>
          <cell r="L31">
            <v>0</v>
          </cell>
          <cell r="M31">
            <v>453</v>
          </cell>
          <cell r="N31">
            <v>3.6</v>
          </cell>
          <cell r="O31">
            <v>52287.27</v>
          </cell>
          <cell r="P31">
            <v>61.8</v>
          </cell>
        </row>
        <row r="32">
          <cell r="A32">
            <v>435</v>
          </cell>
          <cell r="C32" t="str">
            <v>INTERVERTEBRAL DISC EXCISION &amp; DECOMPRESSION                                      </v>
          </cell>
          <cell r="D32">
            <v>0</v>
          </cell>
          <cell r="E32">
            <v>107</v>
          </cell>
          <cell r="F32">
            <v>143</v>
          </cell>
          <cell r="G32">
            <v>185</v>
          </cell>
          <cell r="H32">
            <v>0</v>
          </cell>
          <cell r="I32">
            <v>435</v>
          </cell>
          <cell r="J32">
            <v>219</v>
          </cell>
          <cell r="K32">
            <v>216</v>
          </cell>
          <cell r="L32">
            <v>0</v>
          </cell>
          <cell r="M32">
            <v>435</v>
          </cell>
          <cell r="N32">
            <v>3.7</v>
          </cell>
          <cell r="O32">
            <v>26767.3</v>
          </cell>
          <cell r="P32">
            <v>59.4</v>
          </cell>
        </row>
        <row r="33">
          <cell r="A33">
            <v>427</v>
          </cell>
          <cell r="C33" t="str">
            <v>UTERINE &amp; ADNEXA PROCEDURES FOR NON-MALIGNANCY EXCEPT LEIOMYOMA                   </v>
          </cell>
          <cell r="D33">
            <v>4</v>
          </cell>
          <cell r="E33">
            <v>202</v>
          </cell>
          <cell r="F33">
            <v>162</v>
          </cell>
          <cell r="G33">
            <v>59</v>
          </cell>
          <cell r="H33">
            <v>0</v>
          </cell>
          <cell r="I33">
            <v>427</v>
          </cell>
          <cell r="J33">
            <v>0</v>
          </cell>
          <cell r="K33">
            <v>427</v>
          </cell>
          <cell r="L33">
            <v>0</v>
          </cell>
          <cell r="M33">
            <v>427</v>
          </cell>
          <cell r="N33">
            <v>2.3</v>
          </cell>
          <cell r="O33">
            <v>15472.85</v>
          </cell>
          <cell r="P33">
            <v>46.9</v>
          </cell>
        </row>
        <row r="34">
          <cell r="A34">
            <v>415</v>
          </cell>
          <cell r="C34" t="str">
            <v>NON-BACTERIAL GASTROENTERITIS, NAUSEA &amp; VOMITING                                  </v>
          </cell>
          <cell r="D34">
            <v>12</v>
          </cell>
          <cell r="E34">
            <v>100</v>
          </cell>
          <cell r="F34">
            <v>137</v>
          </cell>
          <cell r="G34">
            <v>166</v>
          </cell>
          <cell r="H34">
            <v>0</v>
          </cell>
          <cell r="I34">
            <v>415</v>
          </cell>
          <cell r="J34">
            <v>159</v>
          </cell>
          <cell r="K34">
            <v>256</v>
          </cell>
          <cell r="L34">
            <v>0</v>
          </cell>
          <cell r="M34">
            <v>415</v>
          </cell>
          <cell r="N34">
            <v>3.3</v>
          </cell>
          <cell r="O34">
            <v>10524.48</v>
          </cell>
          <cell r="P34">
            <v>57.1</v>
          </cell>
        </row>
        <row r="35">
          <cell r="A35">
            <v>408</v>
          </cell>
          <cell r="C35" t="str">
            <v>INTESTINAL OBSTRUCTION                                                            </v>
          </cell>
          <cell r="D35">
            <v>1</v>
          </cell>
          <cell r="E35">
            <v>56</v>
          </cell>
          <cell r="F35">
            <v>142</v>
          </cell>
          <cell r="G35">
            <v>209</v>
          </cell>
          <cell r="H35">
            <v>0</v>
          </cell>
          <cell r="I35">
            <v>408</v>
          </cell>
          <cell r="J35">
            <v>176</v>
          </cell>
          <cell r="K35">
            <v>232</v>
          </cell>
          <cell r="L35">
            <v>0</v>
          </cell>
          <cell r="M35">
            <v>408</v>
          </cell>
          <cell r="N35">
            <v>4.8</v>
          </cell>
          <cell r="O35">
            <v>13614.72</v>
          </cell>
          <cell r="P35">
            <v>63.9</v>
          </cell>
        </row>
        <row r="36">
          <cell r="A36">
            <v>394</v>
          </cell>
          <cell r="C36" t="str">
            <v>APPENDECTOMY                                                                      </v>
          </cell>
          <cell r="D36">
            <v>29</v>
          </cell>
          <cell r="E36">
            <v>234</v>
          </cell>
          <cell r="F36">
            <v>100</v>
          </cell>
          <cell r="G36">
            <v>31</v>
          </cell>
          <cell r="H36">
            <v>0</v>
          </cell>
          <cell r="I36">
            <v>394</v>
          </cell>
          <cell r="J36">
            <v>210</v>
          </cell>
          <cell r="K36">
            <v>184</v>
          </cell>
          <cell r="L36">
            <v>0</v>
          </cell>
          <cell r="M36">
            <v>394</v>
          </cell>
          <cell r="N36">
            <v>1.9</v>
          </cell>
          <cell r="O36">
            <v>16142.79</v>
          </cell>
          <cell r="P36">
            <v>37.9</v>
          </cell>
        </row>
        <row r="37">
          <cell r="A37">
            <v>392</v>
          </cell>
          <cell r="C37" t="str">
            <v>PEPTIC ULCER &amp; GASTRITIS                                                          </v>
          </cell>
          <cell r="D37">
            <v>1</v>
          </cell>
          <cell r="E37">
            <v>95</v>
          </cell>
          <cell r="F37">
            <v>148</v>
          </cell>
          <cell r="G37">
            <v>148</v>
          </cell>
          <cell r="H37">
            <v>0</v>
          </cell>
          <cell r="I37">
            <v>392</v>
          </cell>
          <cell r="J37">
            <v>201</v>
          </cell>
          <cell r="K37">
            <v>191</v>
          </cell>
          <cell r="L37">
            <v>0</v>
          </cell>
          <cell r="M37">
            <v>392</v>
          </cell>
          <cell r="N37">
            <v>3.9</v>
          </cell>
          <cell r="O37">
            <v>16304.37</v>
          </cell>
          <cell r="P37">
            <v>58.4</v>
          </cell>
        </row>
        <row r="38">
          <cell r="A38">
            <v>389</v>
          </cell>
          <cell r="C38" t="str">
            <v>POISONING OF MEDICINAL AGENTS                                                     </v>
          </cell>
          <cell r="D38">
            <v>16</v>
          </cell>
          <cell r="E38">
            <v>188</v>
          </cell>
          <cell r="F38">
            <v>132</v>
          </cell>
          <cell r="G38">
            <v>53</v>
          </cell>
          <cell r="H38">
            <v>0</v>
          </cell>
          <cell r="I38">
            <v>389</v>
          </cell>
          <cell r="J38">
            <v>160</v>
          </cell>
          <cell r="K38">
            <v>229</v>
          </cell>
          <cell r="L38">
            <v>0</v>
          </cell>
          <cell r="M38">
            <v>389</v>
          </cell>
          <cell r="N38">
            <v>3.3</v>
          </cell>
          <cell r="O38">
            <v>13202.42</v>
          </cell>
          <cell r="P38">
            <v>43.4</v>
          </cell>
        </row>
        <row r="39">
          <cell r="A39">
            <v>385</v>
          </cell>
          <cell r="C39" t="str">
            <v>DISORDERS OF PANCREAS EXCEPT MALIGNANCY                                           </v>
          </cell>
          <cell r="D39">
            <v>1</v>
          </cell>
          <cell r="E39">
            <v>129</v>
          </cell>
          <cell r="F39">
            <v>192</v>
          </cell>
          <cell r="G39">
            <v>63</v>
          </cell>
          <cell r="H39">
            <v>0</v>
          </cell>
          <cell r="I39">
            <v>385</v>
          </cell>
          <cell r="J39">
            <v>223</v>
          </cell>
          <cell r="K39">
            <v>162</v>
          </cell>
          <cell r="L39">
            <v>0</v>
          </cell>
          <cell r="M39">
            <v>385</v>
          </cell>
          <cell r="N39">
            <v>5.2</v>
          </cell>
          <cell r="O39">
            <v>17096.13</v>
          </cell>
          <cell r="P39">
            <v>50.9</v>
          </cell>
        </row>
        <row r="40">
          <cell r="A40">
            <v>382</v>
          </cell>
          <cell r="C40" t="str">
            <v>DIVERTICULITIS &amp; DIVERTICULOSIS                                                   </v>
          </cell>
          <cell r="D40">
            <v>0</v>
          </cell>
          <cell r="E40">
            <v>51</v>
          </cell>
          <cell r="F40">
            <v>144</v>
          </cell>
          <cell r="G40">
            <v>187</v>
          </cell>
          <cell r="H40">
            <v>0</v>
          </cell>
          <cell r="I40">
            <v>382</v>
          </cell>
          <cell r="J40">
            <v>168</v>
          </cell>
          <cell r="K40">
            <v>214</v>
          </cell>
          <cell r="L40">
            <v>0</v>
          </cell>
          <cell r="M40">
            <v>382</v>
          </cell>
          <cell r="N40">
            <v>4.1</v>
          </cell>
          <cell r="O40">
            <v>13468.71</v>
          </cell>
          <cell r="P40">
            <v>63.8</v>
          </cell>
        </row>
        <row r="41">
          <cell r="A41">
            <v>381</v>
          </cell>
          <cell r="C41" t="str">
            <v>MAJOR RESPIRATORY INFECTIONS &amp; INFLAMMATIONS                                      </v>
          </cell>
          <cell r="D41">
            <v>1</v>
          </cell>
          <cell r="E41">
            <v>30</v>
          </cell>
          <cell r="F41">
            <v>88</v>
          </cell>
          <cell r="G41">
            <v>262</v>
          </cell>
          <cell r="H41">
            <v>0</v>
          </cell>
          <cell r="I41">
            <v>381</v>
          </cell>
          <cell r="J41">
            <v>205</v>
          </cell>
          <cell r="K41">
            <v>176</v>
          </cell>
          <cell r="L41">
            <v>0</v>
          </cell>
          <cell r="M41">
            <v>381</v>
          </cell>
          <cell r="N41">
            <v>8.4</v>
          </cell>
          <cell r="O41">
            <v>28799.04</v>
          </cell>
          <cell r="P41">
            <v>71</v>
          </cell>
        </row>
        <row r="42">
          <cell r="A42">
            <v>380</v>
          </cell>
          <cell r="C42" t="str">
            <v>PERIPHERAL &amp; OTHER VASCULAR DISORDERS                                             </v>
          </cell>
          <cell r="D42">
            <v>0</v>
          </cell>
          <cell r="E42">
            <v>37</v>
          </cell>
          <cell r="F42">
            <v>132</v>
          </cell>
          <cell r="G42">
            <v>211</v>
          </cell>
          <cell r="H42">
            <v>0</v>
          </cell>
          <cell r="I42">
            <v>380</v>
          </cell>
          <cell r="J42">
            <v>187</v>
          </cell>
          <cell r="K42">
            <v>193</v>
          </cell>
          <cell r="L42">
            <v>0</v>
          </cell>
          <cell r="M42">
            <v>380</v>
          </cell>
          <cell r="N42">
            <v>4.7</v>
          </cell>
          <cell r="O42">
            <v>17559.72</v>
          </cell>
          <cell r="P42">
            <v>66.3</v>
          </cell>
        </row>
        <row r="43">
          <cell r="A43">
            <v>372</v>
          </cell>
          <cell r="C43" t="str">
            <v>CERVICAL SPINAL FUSION &amp; OTHER BACK/NECK PROC EXC DISC EXCIS/ DECOMP              </v>
          </cell>
          <cell r="D43">
            <v>1</v>
          </cell>
          <cell r="E43">
            <v>66</v>
          </cell>
          <cell r="F43">
            <v>219</v>
          </cell>
          <cell r="G43">
            <v>86</v>
          </cell>
          <cell r="H43">
            <v>0</v>
          </cell>
          <cell r="I43">
            <v>372</v>
          </cell>
          <cell r="J43">
            <v>189</v>
          </cell>
          <cell r="K43">
            <v>183</v>
          </cell>
          <cell r="L43">
            <v>0</v>
          </cell>
          <cell r="M43">
            <v>372</v>
          </cell>
          <cell r="N43">
            <v>3</v>
          </cell>
          <cell r="O43">
            <v>37090.57</v>
          </cell>
          <cell r="P43">
            <v>55.2</v>
          </cell>
        </row>
        <row r="44">
          <cell r="A44">
            <v>365</v>
          </cell>
          <cell r="C44" t="str">
            <v>OTHER MUSCULOSKELETAL SYSTEM &amp; CONNECTIVE TISSUE DIAGNOSES                        </v>
          </cell>
          <cell r="D44">
            <v>2</v>
          </cell>
          <cell r="E44">
            <v>68</v>
          </cell>
          <cell r="F44">
            <v>101</v>
          </cell>
          <cell r="G44">
            <v>194</v>
          </cell>
          <cell r="H44">
            <v>0</v>
          </cell>
          <cell r="I44">
            <v>365</v>
          </cell>
          <cell r="J44">
            <v>168</v>
          </cell>
          <cell r="K44">
            <v>197</v>
          </cell>
          <cell r="L44">
            <v>0</v>
          </cell>
          <cell r="M44">
            <v>365</v>
          </cell>
          <cell r="N44">
            <v>4.1</v>
          </cell>
          <cell r="O44">
            <v>12585.79</v>
          </cell>
          <cell r="P44">
            <v>64.2</v>
          </cell>
        </row>
        <row r="45">
          <cell r="A45">
            <v>362</v>
          </cell>
          <cell r="C45" t="str">
            <v>MAJOR GASTROINTESTINAL &amp; PERITONEAL INFECTIONS                                    </v>
          </cell>
          <cell r="D45">
            <v>1</v>
          </cell>
          <cell r="E45">
            <v>58</v>
          </cell>
          <cell r="F45">
            <v>103</v>
          </cell>
          <cell r="G45">
            <v>200</v>
          </cell>
          <cell r="H45">
            <v>0</v>
          </cell>
          <cell r="I45">
            <v>362</v>
          </cell>
          <cell r="J45">
            <v>134</v>
          </cell>
          <cell r="K45">
            <v>228</v>
          </cell>
          <cell r="L45">
            <v>0</v>
          </cell>
          <cell r="M45">
            <v>362</v>
          </cell>
          <cell r="N45">
            <v>6.8</v>
          </cell>
          <cell r="O45">
            <v>20421.99</v>
          </cell>
          <cell r="P45">
            <v>65</v>
          </cell>
        </row>
        <row r="46">
          <cell r="A46">
            <v>354</v>
          </cell>
          <cell r="C46" t="str">
            <v>HEAD TRAUMA W COMA &gt;1 HR OR HEMORRHAGE                                            </v>
          </cell>
          <cell r="D46">
            <v>7</v>
          </cell>
          <cell r="E46">
            <v>68</v>
          </cell>
          <cell r="F46">
            <v>75</v>
          </cell>
          <cell r="G46">
            <v>204</v>
          </cell>
          <cell r="H46">
            <v>0</v>
          </cell>
          <cell r="I46">
            <v>354</v>
          </cell>
          <cell r="J46">
            <v>208</v>
          </cell>
          <cell r="K46">
            <v>146</v>
          </cell>
          <cell r="L46">
            <v>0</v>
          </cell>
          <cell r="M46">
            <v>354</v>
          </cell>
          <cell r="N46">
            <v>4.9</v>
          </cell>
          <cell r="O46">
            <v>19786.18</v>
          </cell>
          <cell r="P46">
            <v>64</v>
          </cell>
        </row>
        <row r="47">
          <cell r="A47">
            <v>351</v>
          </cell>
          <cell r="C47" t="str">
            <v>POST-OPERATIVE, POST-TRAUMATIC, OTHER DEVICE INFECTIONS                           </v>
          </cell>
          <cell r="D47">
            <v>4</v>
          </cell>
          <cell r="E47">
            <v>93</v>
          </cell>
          <cell r="F47">
            <v>159</v>
          </cell>
          <cell r="G47">
            <v>95</v>
          </cell>
          <cell r="H47">
            <v>0</v>
          </cell>
          <cell r="I47">
            <v>351</v>
          </cell>
          <cell r="J47">
            <v>155</v>
          </cell>
          <cell r="K47">
            <v>196</v>
          </cell>
          <cell r="L47">
            <v>0</v>
          </cell>
          <cell r="M47">
            <v>351</v>
          </cell>
          <cell r="N47">
            <v>5.9</v>
          </cell>
          <cell r="O47">
            <v>20893.63</v>
          </cell>
          <cell r="P47">
            <v>54.3</v>
          </cell>
        </row>
        <row r="48">
          <cell r="A48">
            <v>350</v>
          </cell>
          <cell r="C48" t="str">
            <v>HIP &amp; FEMUR PROCEDURES FOR TRAUMA EXCEPT JOINT REPLACEMENT                        </v>
          </cell>
          <cell r="D48">
            <v>3</v>
          </cell>
          <cell r="E48">
            <v>42</v>
          </cell>
          <cell r="F48">
            <v>42</v>
          </cell>
          <cell r="G48">
            <v>263</v>
          </cell>
          <cell r="H48">
            <v>0</v>
          </cell>
          <cell r="I48">
            <v>350</v>
          </cell>
          <cell r="J48">
            <v>119</v>
          </cell>
          <cell r="K48">
            <v>231</v>
          </cell>
          <cell r="L48">
            <v>0</v>
          </cell>
          <cell r="M48">
            <v>350</v>
          </cell>
          <cell r="N48">
            <v>5.6</v>
          </cell>
          <cell r="O48">
            <v>31299.46</v>
          </cell>
          <cell r="P48">
            <v>72.5</v>
          </cell>
        </row>
        <row r="49">
          <cell r="A49">
            <v>349</v>
          </cell>
          <cell r="C49" t="str">
            <v>TRANSIENT ISCHEMIA                                                                </v>
          </cell>
          <cell r="D49">
            <v>0</v>
          </cell>
          <cell r="E49">
            <v>24</v>
          </cell>
          <cell r="F49">
            <v>110</v>
          </cell>
          <cell r="G49">
            <v>215</v>
          </cell>
          <cell r="H49">
            <v>0</v>
          </cell>
          <cell r="I49">
            <v>349</v>
          </cell>
          <cell r="J49">
            <v>154</v>
          </cell>
          <cell r="K49">
            <v>195</v>
          </cell>
          <cell r="L49">
            <v>0</v>
          </cell>
          <cell r="M49">
            <v>349</v>
          </cell>
          <cell r="N49">
            <v>2.5</v>
          </cell>
          <cell r="O49">
            <v>13279.12</v>
          </cell>
          <cell r="P49">
            <v>69.1</v>
          </cell>
        </row>
        <row r="50">
          <cell r="A50">
            <v>344</v>
          </cell>
          <cell r="C50" t="str">
            <v>SEIZURE                                                                           </v>
          </cell>
          <cell r="D50">
            <v>8</v>
          </cell>
          <cell r="E50">
            <v>122</v>
          </cell>
          <cell r="F50">
            <v>122</v>
          </cell>
          <cell r="G50">
            <v>92</v>
          </cell>
          <cell r="H50">
            <v>0</v>
          </cell>
          <cell r="I50">
            <v>344</v>
          </cell>
          <cell r="J50">
            <v>167</v>
          </cell>
          <cell r="K50">
            <v>177</v>
          </cell>
          <cell r="L50">
            <v>0</v>
          </cell>
          <cell r="M50">
            <v>344</v>
          </cell>
          <cell r="N50">
            <v>3.8</v>
          </cell>
          <cell r="O50">
            <v>15039.21</v>
          </cell>
          <cell r="P50">
            <v>50.7</v>
          </cell>
        </row>
        <row r="51">
          <cell r="A51">
            <v>320</v>
          </cell>
          <cell r="C51" t="str">
            <v>CARDIAC CATHETERIZATION W CIRC DISORD EXC ISCHEMIC HEART DISEASE                  </v>
          </cell>
          <cell r="D51">
            <v>0</v>
          </cell>
          <cell r="E51">
            <v>32</v>
          </cell>
          <cell r="F51">
            <v>123</v>
          </cell>
          <cell r="G51">
            <v>165</v>
          </cell>
          <cell r="H51">
            <v>0</v>
          </cell>
          <cell r="I51">
            <v>320</v>
          </cell>
          <cell r="J51">
            <v>172</v>
          </cell>
          <cell r="K51">
            <v>148</v>
          </cell>
          <cell r="L51">
            <v>0</v>
          </cell>
          <cell r="M51">
            <v>320</v>
          </cell>
          <cell r="N51">
            <v>6.1</v>
          </cell>
          <cell r="O51">
            <v>34680.09</v>
          </cell>
          <cell r="P51">
            <v>63.5</v>
          </cell>
        </row>
        <row r="52">
          <cell r="A52">
            <v>301</v>
          </cell>
          <cell r="C52" t="str">
            <v>CARDIAC CATHETERIZATION FOR ISCHEMIC HEART DISEASE                                </v>
          </cell>
          <cell r="D52">
            <v>0</v>
          </cell>
          <cell r="E52">
            <v>34</v>
          </cell>
          <cell r="F52">
            <v>140</v>
          </cell>
          <cell r="G52">
            <v>127</v>
          </cell>
          <cell r="H52">
            <v>0</v>
          </cell>
          <cell r="I52">
            <v>301</v>
          </cell>
          <cell r="J52">
            <v>182</v>
          </cell>
          <cell r="K52">
            <v>119</v>
          </cell>
          <cell r="L52">
            <v>0</v>
          </cell>
          <cell r="M52">
            <v>301</v>
          </cell>
          <cell r="N52">
            <v>2.5</v>
          </cell>
          <cell r="O52">
            <v>21181.9</v>
          </cell>
          <cell r="P52">
            <v>61.4</v>
          </cell>
        </row>
        <row r="53">
          <cell r="A53">
            <v>291</v>
          </cell>
          <cell r="C53" t="str">
            <v>KNEE &amp; LOWER LEG PROCEDURES EXCEPT FOOT                                           </v>
          </cell>
          <cell r="D53">
            <v>9</v>
          </cell>
          <cell r="E53">
            <v>104</v>
          </cell>
          <cell r="F53">
            <v>104</v>
          </cell>
          <cell r="G53">
            <v>74</v>
          </cell>
          <cell r="H53">
            <v>0</v>
          </cell>
          <cell r="I53">
            <v>291</v>
          </cell>
          <cell r="J53">
            <v>161</v>
          </cell>
          <cell r="K53">
            <v>130</v>
          </cell>
          <cell r="L53">
            <v>0</v>
          </cell>
          <cell r="M53">
            <v>291</v>
          </cell>
          <cell r="N53">
            <v>4.5</v>
          </cell>
          <cell r="O53">
            <v>27078.71</v>
          </cell>
          <cell r="P53">
            <v>50</v>
          </cell>
        </row>
        <row r="54">
          <cell r="A54">
            <v>290</v>
          </cell>
          <cell r="C54" t="str">
            <v>OTHER ANEMIA &amp; DISORDERS OF BLOOD &amp; BLOOD-FORMING ORGANS                          </v>
          </cell>
          <cell r="D54">
            <v>3</v>
          </cell>
          <cell r="E54">
            <v>58</v>
          </cell>
          <cell r="F54">
            <v>72</v>
          </cell>
          <cell r="G54">
            <v>157</v>
          </cell>
          <cell r="H54">
            <v>0</v>
          </cell>
          <cell r="I54">
            <v>290</v>
          </cell>
          <cell r="J54">
            <v>106</v>
          </cell>
          <cell r="K54">
            <v>184</v>
          </cell>
          <cell r="L54">
            <v>0</v>
          </cell>
          <cell r="M54">
            <v>290</v>
          </cell>
          <cell r="N54">
            <v>3.8</v>
          </cell>
          <cell r="O54">
            <v>16270.66</v>
          </cell>
          <cell r="P54">
            <v>62.8</v>
          </cell>
        </row>
        <row r="55">
          <cell r="A55">
            <v>287</v>
          </cell>
          <cell r="C55" t="str">
            <v>SIGNS, SYMPTOMS &amp; OTHER FACTORS INFLUENCING HEALTH STATUS                         </v>
          </cell>
          <cell r="D55">
            <v>3</v>
          </cell>
          <cell r="E55">
            <v>51</v>
          </cell>
          <cell r="F55">
            <v>93</v>
          </cell>
          <cell r="G55">
            <v>140</v>
          </cell>
          <cell r="H55">
            <v>0</v>
          </cell>
          <cell r="I55">
            <v>287</v>
          </cell>
          <cell r="J55">
            <v>117</v>
          </cell>
          <cell r="K55">
            <v>170</v>
          </cell>
          <cell r="L55">
            <v>0</v>
          </cell>
          <cell r="M55">
            <v>287</v>
          </cell>
          <cell r="N55">
            <v>4.1</v>
          </cell>
          <cell r="O55">
            <v>12608.28</v>
          </cell>
          <cell r="P55">
            <v>62.6</v>
          </cell>
        </row>
        <row r="56">
          <cell r="A56">
            <v>283</v>
          </cell>
          <cell r="C56" t="str">
            <v>ELECTROLYTE DISORDERS EXCEPT HYPOVOLEMIA RELATED                                  </v>
          </cell>
          <cell r="D56">
            <v>3</v>
          </cell>
          <cell r="E56">
            <v>43</v>
          </cell>
          <cell r="F56">
            <v>91</v>
          </cell>
          <cell r="G56">
            <v>146</v>
          </cell>
          <cell r="H56">
            <v>0</v>
          </cell>
          <cell r="I56">
            <v>283</v>
          </cell>
          <cell r="J56">
            <v>118</v>
          </cell>
          <cell r="K56">
            <v>165</v>
          </cell>
          <cell r="L56">
            <v>0</v>
          </cell>
          <cell r="M56">
            <v>283</v>
          </cell>
          <cell r="N56">
            <v>4.4</v>
          </cell>
          <cell r="O56">
            <v>15675.16</v>
          </cell>
          <cell r="P56">
            <v>64</v>
          </cell>
        </row>
        <row r="57">
          <cell r="A57">
            <v>275</v>
          </cell>
          <cell r="C57" t="str">
            <v>OTHER DISORDERS OF NERVOUS SYSTEM                                                 </v>
          </cell>
          <cell r="D57">
            <v>1</v>
          </cell>
          <cell r="E57">
            <v>55</v>
          </cell>
          <cell r="F57">
            <v>95</v>
          </cell>
          <cell r="G57">
            <v>124</v>
          </cell>
          <cell r="H57">
            <v>0</v>
          </cell>
          <cell r="I57">
            <v>275</v>
          </cell>
          <cell r="J57">
            <v>99</v>
          </cell>
          <cell r="K57">
            <v>176</v>
          </cell>
          <cell r="L57">
            <v>0</v>
          </cell>
          <cell r="M57">
            <v>275</v>
          </cell>
          <cell r="N57">
            <v>4.5</v>
          </cell>
          <cell r="O57">
            <v>17598.14</v>
          </cell>
          <cell r="P57">
            <v>61.1</v>
          </cell>
        </row>
        <row r="58">
          <cell r="A58">
            <v>272</v>
          </cell>
          <cell r="C58" t="str">
            <v>RESPIRATORY SIGNS, SYMPTOMS &amp; MINOR DIAGNOSES                                     </v>
          </cell>
          <cell r="D58">
            <v>1</v>
          </cell>
          <cell r="E58">
            <v>36</v>
          </cell>
          <cell r="F58">
            <v>93</v>
          </cell>
          <cell r="G58">
            <v>142</v>
          </cell>
          <cell r="H58">
            <v>0</v>
          </cell>
          <cell r="I58">
            <v>272</v>
          </cell>
          <cell r="J58">
            <v>104</v>
          </cell>
          <cell r="K58">
            <v>168</v>
          </cell>
          <cell r="L58">
            <v>0</v>
          </cell>
          <cell r="M58">
            <v>272</v>
          </cell>
          <cell r="N58">
            <v>3.6</v>
          </cell>
          <cell r="O58">
            <v>14246.47</v>
          </cell>
          <cell r="P58">
            <v>65.2</v>
          </cell>
        </row>
        <row r="59">
          <cell r="A59">
            <v>271.001</v>
          </cell>
          <cell r="C59" t="str">
            <v>PULMONARY EDEMA &amp; RESPIRATORY FAILURE                                             </v>
          </cell>
          <cell r="D59">
            <v>0</v>
          </cell>
          <cell r="E59">
            <v>14</v>
          </cell>
          <cell r="F59">
            <v>95</v>
          </cell>
          <cell r="G59">
            <v>162</v>
          </cell>
          <cell r="H59">
            <v>0</v>
          </cell>
          <cell r="I59">
            <v>271</v>
          </cell>
          <cell r="J59">
            <v>128</v>
          </cell>
          <cell r="K59">
            <v>143</v>
          </cell>
          <cell r="L59">
            <v>0</v>
          </cell>
          <cell r="M59">
            <v>271</v>
          </cell>
          <cell r="N59">
            <v>7.2</v>
          </cell>
          <cell r="O59">
            <v>31987.57</v>
          </cell>
          <cell r="P59">
            <v>67.9</v>
          </cell>
        </row>
        <row r="60">
          <cell r="A60">
            <v>271</v>
          </cell>
          <cell r="C60" t="str">
            <v>EXTRACRANIAL VASCULAR PROCEDURES                                                  </v>
          </cell>
          <cell r="D60">
            <v>0</v>
          </cell>
          <cell r="E60">
            <v>12</v>
          </cell>
          <cell r="F60">
            <v>83</v>
          </cell>
          <cell r="G60">
            <v>176</v>
          </cell>
          <cell r="H60">
            <v>0</v>
          </cell>
          <cell r="I60">
            <v>271</v>
          </cell>
          <cell r="J60">
            <v>163</v>
          </cell>
          <cell r="K60">
            <v>108</v>
          </cell>
          <cell r="L60">
            <v>0</v>
          </cell>
          <cell r="M60">
            <v>271</v>
          </cell>
          <cell r="N60">
            <v>3.1</v>
          </cell>
          <cell r="O60">
            <v>29719.26</v>
          </cell>
          <cell r="P60">
            <v>68.2</v>
          </cell>
        </row>
        <row r="61">
          <cell r="A61">
            <v>268</v>
          </cell>
          <cell r="C61" t="str">
            <v>OTHER &amp; UNSPECIFIED GASTROINTESTINAL HEMORRHAGE                                   </v>
          </cell>
          <cell r="D61">
            <v>0</v>
          </cell>
          <cell r="E61">
            <v>20</v>
          </cell>
          <cell r="F61">
            <v>85</v>
          </cell>
          <cell r="G61">
            <v>163</v>
          </cell>
          <cell r="H61">
            <v>0</v>
          </cell>
          <cell r="I61">
            <v>268</v>
          </cell>
          <cell r="J61">
            <v>135</v>
          </cell>
          <cell r="K61">
            <v>133</v>
          </cell>
          <cell r="L61">
            <v>0</v>
          </cell>
          <cell r="M61">
            <v>268</v>
          </cell>
          <cell r="N61">
            <v>4.1</v>
          </cell>
          <cell r="O61">
            <v>16463.65</v>
          </cell>
          <cell r="P61">
            <v>68.6</v>
          </cell>
        </row>
        <row r="62">
          <cell r="A62">
            <v>260</v>
          </cell>
          <cell r="C62" t="str">
            <v>ABDOMINAL PAIN                                                                    </v>
          </cell>
          <cell r="D62">
            <v>5</v>
          </cell>
          <cell r="E62">
            <v>118</v>
          </cell>
          <cell r="F62">
            <v>79</v>
          </cell>
          <cell r="G62">
            <v>58</v>
          </cell>
          <cell r="H62">
            <v>0</v>
          </cell>
          <cell r="I62">
            <v>260</v>
          </cell>
          <cell r="J62">
            <v>92</v>
          </cell>
          <cell r="K62">
            <v>168</v>
          </cell>
          <cell r="L62">
            <v>0</v>
          </cell>
          <cell r="M62">
            <v>260</v>
          </cell>
          <cell r="N62">
            <v>2.9</v>
          </cell>
          <cell r="O62">
            <v>9495</v>
          </cell>
          <cell r="P62">
            <v>47.9</v>
          </cell>
        </row>
        <row r="63">
          <cell r="A63">
            <v>258</v>
          </cell>
          <cell r="C63" t="str">
            <v>HERNIA PROCEDURES EXCEPT INGUINAL, FEMORAL &amp; UMBILICAL                            </v>
          </cell>
          <cell r="D63">
            <v>0</v>
          </cell>
          <cell r="E63">
            <v>56</v>
          </cell>
          <cell r="F63">
            <v>117</v>
          </cell>
          <cell r="G63">
            <v>85</v>
          </cell>
          <cell r="H63">
            <v>0</v>
          </cell>
          <cell r="I63">
            <v>258</v>
          </cell>
          <cell r="J63">
            <v>118</v>
          </cell>
          <cell r="K63">
            <v>140</v>
          </cell>
          <cell r="L63">
            <v>0</v>
          </cell>
          <cell r="M63">
            <v>258</v>
          </cell>
          <cell r="N63">
            <v>4.6</v>
          </cell>
          <cell r="O63">
            <v>30213.49</v>
          </cell>
          <cell r="P63">
            <v>57.3</v>
          </cell>
        </row>
        <row r="64">
          <cell r="A64">
            <v>255</v>
          </cell>
          <cell r="C64" t="str">
            <v>PULMONARY EMBOLISM                                                                </v>
          </cell>
          <cell r="D64">
            <v>1</v>
          </cell>
          <cell r="E64">
            <v>50</v>
          </cell>
          <cell r="F64">
            <v>99</v>
          </cell>
          <cell r="G64">
            <v>105</v>
          </cell>
          <cell r="H64">
            <v>0</v>
          </cell>
          <cell r="I64">
            <v>255</v>
          </cell>
          <cell r="J64">
            <v>125</v>
          </cell>
          <cell r="K64">
            <v>130</v>
          </cell>
          <cell r="L64">
            <v>0</v>
          </cell>
          <cell r="M64">
            <v>255</v>
          </cell>
          <cell r="N64">
            <v>5.2</v>
          </cell>
          <cell r="O64">
            <v>22386.39</v>
          </cell>
          <cell r="P64">
            <v>59.5</v>
          </cell>
        </row>
        <row r="65">
          <cell r="A65">
            <v>252</v>
          </cell>
          <cell r="C65" t="str">
            <v>CRANIOTOMY EXCEPT FOR TRAUMA                                                      </v>
          </cell>
          <cell r="D65">
            <v>0</v>
          </cell>
          <cell r="E65">
            <v>54</v>
          </cell>
          <cell r="F65">
            <v>106</v>
          </cell>
          <cell r="G65">
            <v>92</v>
          </cell>
          <cell r="H65">
            <v>0</v>
          </cell>
          <cell r="I65">
            <v>252</v>
          </cell>
          <cell r="J65">
            <v>111</v>
          </cell>
          <cell r="K65">
            <v>141</v>
          </cell>
          <cell r="L65">
            <v>0</v>
          </cell>
          <cell r="M65">
            <v>252</v>
          </cell>
          <cell r="N65">
            <v>13.8</v>
          </cell>
          <cell r="O65">
            <v>71845.96</v>
          </cell>
          <cell r="P65">
            <v>57.6</v>
          </cell>
        </row>
        <row r="66">
          <cell r="A66">
            <v>250</v>
          </cell>
          <cell r="C66" t="str">
            <v>UTERINE &amp; ADNEXA PROCEDURES FOR LEIOMYOMA                                         </v>
          </cell>
          <cell r="D66">
            <v>0</v>
          </cell>
          <cell r="E66">
            <v>118</v>
          </cell>
          <cell r="F66">
            <v>125</v>
          </cell>
          <cell r="G66">
            <v>7</v>
          </cell>
          <cell r="H66">
            <v>0</v>
          </cell>
          <cell r="I66">
            <v>250</v>
          </cell>
          <cell r="J66">
            <v>0</v>
          </cell>
          <cell r="K66">
            <v>250</v>
          </cell>
          <cell r="L66">
            <v>0</v>
          </cell>
          <cell r="M66">
            <v>250</v>
          </cell>
          <cell r="N66">
            <v>2.4</v>
          </cell>
          <cell r="O66">
            <v>14413.52</v>
          </cell>
          <cell r="P66">
            <v>45.1</v>
          </cell>
        </row>
        <row r="67">
          <cell r="A67">
            <v>245</v>
          </cell>
          <cell r="C67" t="str">
            <v>CORONARY BYPASS W CARDIAC CATH OR PERCUTANEOUS CARDIAC PROCEDURE                  </v>
          </cell>
          <cell r="D67">
            <v>0</v>
          </cell>
          <cell r="E67">
            <v>9</v>
          </cell>
          <cell r="F67">
            <v>91</v>
          </cell>
          <cell r="G67">
            <v>145</v>
          </cell>
          <cell r="H67">
            <v>0</v>
          </cell>
          <cell r="I67">
            <v>245</v>
          </cell>
          <cell r="J67">
            <v>176</v>
          </cell>
          <cell r="K67">
            <v>69</v>
          </cell>
          <cell r="L67">
            <v>0</v>
          </cell>
          <cell r="M67">
            <v>245</v>
          </cell>
          <cell r="N67">
            <v>9.2</v>
          </cell>
          <cell r="O67">
            <v>77328.26</v>
          </cell>
          <cell r="P67">
            <v>66.2</v>
          </cell>
        </row>
        <row r="68">
          <cell r="A68">
            <v>236</v>
          </cell>
          <cell r="C68" t="str">
            <v>HYPOVOLEMIA &amp; RELATED ELECTROLYTE DISORDERS                                       </v>
          </cell>
          <cell r="D68">
            <v>5</v>
          </cell>
          <cell r="E68">
            <v>27</v>
          </cell>
          <cell r="F68">
            <v>56</v>
          </cell>
          <cell r="G68">
            <v>148</v>
          </cell>
          <cell r="H68">
            <v>0</v>
          </cell>
          <cell r="I68">
            <v>236</v>
          </cell>
          <cell r="J68">
            <v>102</v>
          </cell>
          <cell r="K68">
            <v>134</v>
          </cell>
          <cell r="L68">
            <v>0</v>
          </cell>
          <cell r="M68">
            <v>236</v>
          </cell>
          <cell r="N68">
            <v>3.7</v>
          </cell>
          <cell r="O68">
            <v>11350.97</v>
          </cell>
          <cell r="P68">
            <v>67</v>
          </cell>
        </row>
        <row r="69">
          <cell r="A69">
            <v>235</v>
          </cell>
          <cell r="C69" t="str">
            <v>NEONATE BIRTHWT &gt;2499G W OTHER SIGNIFICANT CONDITION                              </v>
          </cell>
          <cell r="D69">
            <v>235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235</v>
          </cell>
          <cell r="J69">
            <v>138</v>
          </cell>
          <cell r="K69">
            <v>97</v>
          </cell>
          <cell r="L69">
            <v>0</v>
          </cell>
          <cell r="M69">
            <v>235</v>
          </cell>
          <cell r="N69">
            <v>6</v>
          </cell>
          <cell r="O69">
            <v>12481.17</v>
          </cell>
          <cell r="P69">
            <v>0</v>
          </cell>
        </row>
        <row r="70">
          <cell r="A70">
            <v>232.001</v>
          </cell>
          <cell r="C70" t="str">
            <v>ALCOHOL ABUSE &amp; DEPENDENCE                                                        </v>
          </cell>
          <cell r="D70">
            <v>0</v>
          </cell>
          <cell r="E70">
            <v>66</v>
          </cell>
          <cell r="F70">
            <v>137</v>
          </cell>
          <cell r="G70">
            <v>29</v>
          </cell>
          <cell r="H70">
            <v>0</v>
          </cell>
          <cell r="I70">
            <v>232</v>
          </cell>
          <cell r="J70">
            <v>189</v>
          </cell>
          <cell r="K70">
            <v>43</v>
          </cell>
          <cell r="L70">
            <v>0</v>
          </cell>
          <cell r="M70">
            <v>232</v>
          </cell>
          <cell r="N70">
            <v>7.2</v>
          </cell>
          <cell r="O70">
            <v>24333.66</v>
          </cell>
          <cell r="P70">
            <v>50.3</v>
          </cell>
        </row>
        <row r="71">
          <cell r="A71">
            <v>232</v>
          </cell>
          <cell r="C71" t="str">
            <v>ASTHMA                                                                            </v>
          </cell>
          <cell r="D71">
            <v>36</v>
          </cell>
          <cell r="E71">
            <v>102</v>
          </cell>
          <cell r="F71">
            <v>68</v>
          </cell>
          <cell r="G71">
            <v>26</v>
          </cell>
          <cell r="H71">
            <v>0</v>
          </cell>
          <cell r="I71">
            <v>232</v>
          </cell>
          <cell r="J71">
            <v>78</v>
          </cell>
          <cell r="K71">
            <v>154</v>
          </cell>
          <cell r="L71">
            <v>0</v>
          </cell>
          <cell r="M71">
            <v>232</v>
          </cell>
          <cell r="N71">
            <v>2.8</v>
          </cell>
          <cell r="O71">
            <v>9055.13</v>
          </cell>
          <cell r="P71">
            <v>39.8</v>
          </cell>
        </row>
        <row r="72">
          <cell r="A72">
            <v>230</v>
          </cell>
          <cell r="C72" t="str">
            <v>PROCEDURES FOR OBESITY                                                            </v>
          </cell>
          <cell r="D72">
            <v>0</v>
          </cell>
          <cell r="E72">
            <v>131</v>
          </cell>
          <cell r="F72">
            <v>93</v>
          </cell>
          <cell r="G72">
            <v>6</v>
          </cell>
          <cell r="H72">
            <v>0</v>
          </cell>
          <cell r="I72">
            <v>230</v>
          </cell>
          <cell r="J72">
            <v>47</v>
          </cell>
          <cell r="K72">
            <v>183</v>
          </cell>
          <cell r="L72">
            <v>0</v>
          </cell>
          <cell r="M72">
            <v>230</v>
          </cell>
          <cell r="N72">
            <v>2.3</v>
          </cell>
          <cell r="O72">
            <v>26770.12</v>
          </cell>
          <cell r="P72">
            <v>42.9</v>
          </cell>
        </row>
        <row r="73">
          <cell r="A73">
            <v>229</v>
          </cell>
          <cell r="C73" t="str">
            <v>BIPOLAR DISORDERS                                                                 </v>
          </cell>
          <cell r="D73">
            <v>0</v>
          </cell>
          <cell r="E73">
            <v>129</v>
          </cell>
          <cell r="F73">
            <v>82</v>
          </cell>
          <cell r="G73">
            <v>18</v>
          </cell>
          <cell r="H73">
            <v>0</v>
          </cell>
          <cell r="I73">
            <v>229</v>
          </cell>
          <cell r="J73">
            <v>91</v>
          </cell>
          <cell r="K73">
            <v>138</v>
          </cell>
          <cell r="L73">
            <v>0</v>
          </cell>
          <cell r="M73">
            <v>229</v>
          </cell>
          <cell r="N73">
            <v>7.3</v>
          </cell>
          <cell r="O73">
            <v>10943.45</v>
          </cell>
          <cell r="P73">
            <v>42.5</v>
          </cell>
        </row>
        <row r="74">
          <cell r="A74">
            <v>226</v>
          </cell>
          <cell r="C74" t="str">
            <v>ACUTE MYOCARDIAL INFARCTION                                                       </v>
          </cell>
          <cell r="D74">
            <v>0</v>
          </cell>
          <cell r="E74">
            <v>10</v>
          </cell>
          <cell r="F74">
            <v>64</v>
          </cell>
          <cell r="G74">
            <v>152</v>
          </cell>
          <cell r="H74">
            <v>0</v>
          </cell>
          <cell r="I74">
            <v>226</v>
          </cell>
          <cell r="J74">
            <v>115</v>
          </cell>
          <cell r="K74">
            <v>111</v>
          </cell>
          <cell r="L74">
            <v>0</v>
          </cell>
          <cell r="M74">
            <v>226</v>
          </cell>
          <cell r="N74">
            <v>4.7</v>
          </cell>
          <cell r="O74">
            <v>27679.3</v>
          </cell>
          <cell r="P74">
            <v>71.3</v>
          </cell>
        </row>
        <row r="75">
          <cell r="A75">
            <v>225</v>
          </cell>
          <cell r="C75" t="str">
            <v>INTRACRANIAL HEMORRHAGE                                                           </v>
          </cell>
          <cell r="D75">
            <v>1</v>
          </cell>
          <cell r="E75">
            <v>9</v>
          </cell>
          <cell r="F75">
            <v>68</v>
          </cell>
          <cell r="G75">
            <v>147</v>
          </cell>
          <cell r="H75">
            <v>0</v>
          </cell>
          <cell r="I75">
            <v>225</v>
          </cell>
          <cell r="J75">
            <v>123</v>
          </cell>
          <cell r="K75">
            <v>102</v>
          </cell>
          <cell r="L75">
            <v>0</v>
          </cell>
          <cell r="M75">
            <v>225</v>
          </cell>
          <cell r="N75">
            <v>7.9</v>
          </cell>
          <cell r="O75">
            <v>26044.57</v>
          </cell>
          <cell r="P75">
            <v>69.6</v>
          </cell>
        </row>
        <row r="76">
          <cell r="A76">
            <v>209.001</v>
          </cell>
          <cell r="C76" t="str">
            <v>OTHER RESPIRATORY DIAGNOSES EXCEPT SIGNS, SYMPTOMS &amp; MINOR DIAGNOSES              </v>
          </cell>
          <cell r="D76">
            <v>5</v>
          </cell>
          <cell r="E76">
            <v>36</v>
          </cell>
          <cell r="F76">
            <v>75</v>
          </cell>
          <cell r="G76">
            <v>93</v>
          </cell>
          <cell r="H76">
            <v>0</v>
          </cell>
          <cell r="I76">
            <v>209</v>
          </cell>
          <cell r="J76">
            <v>98</v>
          </cell>
          <cell r="K76">
            <v>111</v>
          </cell>
          <cell r="L76">
            <v>0</v>
          </cell>
          <cell r="M76">
            <v>209</v>
          </cell>
          <cell r="N76">
            <v>6.1</v>
          </cell>
          <cell r="O76">
            <v>19702.02</v>
          </cell>
          <cell r="P76">
            <v>60</v>
          </cell>
        </row>
        <row r="77">
          <cell r="A77">
            <v>209</v>
          </cell>
          <cell r="C77" t="str">
            <v>PERIPHERAL, CRANIAL &amp; AUTONOMIC NERVE DISORDERS                                   </v>
          </cell>
          <cell r="D77">
            <v>0</v>
          </cell>
          <cell r="E77">
            <v>80</v>
          </cell>
          <cell r="F77">
            <v>71</v>
          </cell>
          <cell r="G77">
            <v>58</v>
          </cell>
          <cell r="H77">
            <v>0</v>
          </cell>
          <cell r="I77">
            <v>209</v>
          </cell>
          <cell r="J77">
            <v>91</v>
          </cell>
          <cell r="K77">
            <v>118</v>
          </cell>
          <cell r="L77">
            <v>0</v>
          </cell>
          <cell r="M77">
            <v>209</v>
          </cell>
          <cell r="N77">
            <v>5.1</v>
          </cell>
          <cell r="O77">
            <v>16144.33</v>
          </cell>
          <cell r="P77">
            <v>53.7</v>
          </cell>
        </row>
        <row r="78">
          <cell r="A78">
            <v>208</v>
          </cell>
          <cell r="C78" t="str">
            <v>DEPRESSION EXCEPT MAJOR DEPRESSIVE DISORDER                                       </v>
          </cell>
          <cell r="D78">
            <v>0</v>
          </cell>
          <cell r="E78">
            <v>143</v>
          </cell>
          <cell r="F78">
            <v>55</v>
          </cell>
          <cell r="G78">
            <v>10</v>
          </cell>
          <cell r="H78">
            <v>0</v>
          </cell>
          <cell r="I78">
            <v>208</v>
          </cell>
          <cell r="J78">
            <v>119</v>
          </cell>
          <cell r="K78">
            <v>89</v>
          </cell>
          <cell r="L78">
            <v>0</v>
          </cell>
          <cell r="M78">
            <v>208</v>
          </cell>
          <cell r="N78">
            <v>4</v>
          </cell>
          <cell r="O78">
            <v>5865.38</v>
          </cell>
          <cell r="P78">
            <v>37.6</v>
          </cell>
        </row>
        <row r="79">
          <cell r="A79">
            <v>207</v>
          </cell>
          <cell r="C79" t="str">
            <v>CONCUSSION, CLOSED SKULL FX NOS,UNCOMPLICATED INTRACRANIAL INJURY, COMA &lt; 1 HR OR </v>
          </cell>
          <cell r="D79">
            <v>19</v>
          </cell>
          <cell r="E79">
            <v>82</v>
          </cell>
          <cell r="F79">
            <v>58</v>
          </cell>
          <cell r="G79">
            <v>48</v>
          </cell>
          <cell r="H79">
            <v>0</v>
          </cell>
          <cell r="I79">
            <v>207</v>
          </cell>
          <cell r="J79">
            <v>142</v>
          </cell>
          <cell r="K79">
            <v>65</v>
          </cell>
          <cell r="L79">
            <v>0</v>
          </cell>
          <cell r="M79">
            <v>207</v>
          </cell>
          <cell r="N79">
            <v>2.8</v>
          </cell>
          <cell r="O79">
            <v>14729.95</v>
          </cell>
          <cell r="P79">
            <v>45.7</v>
          </cell>
        </row>
        <row r="80">
          <cell r="A80">
            <v>204</v>
          </cell>
          <cell r="C80" t="str">
            <v>URINARY STONES &amp; ACQUIRED UPPER URINARY TRACT OBSTRUCTION                         </v>
          </cell>
          <cell r="D80">
            <v>1</v>
          </cell>
          <cell r="E80">
            <v>70</v>
          </cell>
          <cell r="F80">
            <v>93</v>
          </cell>
          <cell r="G80">
            <v>40</v>
          </cell>
          <cell r="H80">
            <v>0</v>
          </cell>
          <cell r="I80">
            <v>204</v>
          </cell>
          <cell r="J80">
            <v>106</v>
          </cell>
          <cell r="K80">
            <v>98</v>
          </cell>
          <cell r="L80">
            <v>0</v>
          </cell>
          <cell r="M80">
            <v>204</v>
          </cell>
          <cell r="N80">
            <v>2</v>
          </cell>
          <cell r="O80">
            <v>9623.38</v>
          </cell>
          <cell r="P80">
            <v>50.1</v>
          </cell>
        </row>
        <row r="81">
          <cell r="A81">
            <v>201</v>
          </cell>
          <cell r="C81" t="str">
            <v>CHEST PAIN                                                                        </v>
          </cell>
          <cell r="D81">
            <v>0</v>
          </cell>
          <cell r="E81">
            <v>35</v>
          </cell>
          <cell r="F81">
            <v>108</v>
          </cell>
          <cell r="G81">
            <v>58</v>
          </cell>
          <cell r="H81">
            <v>0</v>
          </cell>
          <cell r="I81">
            <v>201</v>
          </cell>
          <cell r="J81">
            <v>92</v>
          </cell>
          <cell r="K81">
            <v>109</v>
          </cell>
          <cell r="L81">
            <v>0</v>
          </cell>
          <cell r="M81">
            <v>201</v>
          </cell>
          <cell r="N81">
            <v>2.2</v>
          </cell>
          <cell r="O81">
            <v>10485.48</v>
          </cell>
          <cell r="P81">
            <v>57.5</v>
          </cell>
        </row>
        <row r="82">
          <cell r="A82">
            <v>190</v>
          </cell>
          <cell r="C82" t="str">
            <v>SHOULDER, UPPER ARM  &amp; FOREARM PROCEDURES                                         </v>
          </cell>
          <cell r="D82">
            <v>4</v>
          </cell>
          <cell r="E82">
            <v>23</v>
          </cell>
          <cell r="F82">
            <v>66</v>
          </cell>
          <cell r="G82">
            <v>97</v>
          </cell>
          <cell r="H82">
            <v>0</v>
          </cell>
          <cell r="I82">
            <v>190</v>
          </cell>
          <cell r="J82">
            <v>75</v>
          </cell>
          <cell r="K82">
            <v>115</v>
          </cell>
          <cell r="L82">
            <v>0</v>
          </cell>
          <cell r="M82">
            <v>190</v>
          </cell>
          <cell r="N82">
            <v>3.2</v>
          </cell>
          <cell r="O82">
            <v>28584.68</v>
          </cell>
          <cell r="P82">
            <v>62.3</v>
          </cell>
        </row>
        <row r="83">
          <cell r="A83">
            <v>186</v>
          </cell>
          <cell r="C83" t="str">
            <v>FRACTURES &amp; DISLOCATIONS EXCEPT FEMUR, PELVIS &amp; BACK                              </v>
          </cell>
          <cell r="D83">
            <v>9</v>
          </cell>
          <cell r="E83">
            <v>33</v>
          </cell>
          <cell r="F83">
            <v>43</v>
          </cell>
          <cell r="G83">
            <v>101</v>
          </cell>
          <cell r="H83">
            <v>0</v>
          </cell>
          <cell r="I83">
            <v>186</v>
          </cell>
          <cell r="J83">
            <v>74</v>
          </cell>
          <cell r="K83">
            <v>112</v>
          </cell>
          <cell r="L83">
            <v>0</v>
          </cell>
          <cell r="M83">
            <v>186</v>
          </cell>
          <cell r="N83">
            <v>3.3</v>
          </cell>
          <cell r="O83">
            <v>10223.31</v>
          </cell>
          <cell r="P83">
            <v>62.3</v>
          </cell>
        </row>
        <row r="84">
          <cell r="A84">
            <v>183</v>
          </cell>
          <cell r="C84" t="str">
            <v>NEONATE BWT 2000-2499G, NORMAL NEWBORN OR NEONATE W OTHER PROBLEM                 </v>
          </cell>
          <cell r="D84">
            <v>183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183</v>
          </cell>
          <cell r="J84">
            <v>86</v>
          </cell>
          <cell r="K84">
            <v>97</v>
          </cell>
          <cell r="L84">
            <v>0</v>
          </cell>
          <cell r="M84">
            <v>183</v>
          </cell>
          <cell r="N84">
            <v>5.8</v>
          </cell>
          <cell r="O84">
            <v>12647.92</v>
          </cell>
          <cell r="P84">
            <v>0</v>
          </cell>
        </row>
        <row r="85">
          <cell r="A85">
            <v>179</v>
          </cell>
          <cell r="C85" t="str">
            <v>HEPATIC COMA &amp; OTHER MAJOR ACUTE LIVER DISORDERS                                  </v>
          </cell>
          <cell r="D85">
            <v>0</v>
          </cell>
          <cell r="E85">
            <v>25</v>
          </cell>
          <cell r="F85">
            <v>105</v>
          </cell>
          <cell r="G85">
            <v>49</v>
          </cell>
          <cell r="H85">
            <v>0</v>
          </cell>
          <cell r="I85">
            <v>179</v>
          </cell>
          <cell r="J85">
            <v>107</v>
          </cell>
          <cell r="K85">
            <v>72</v>
          </cell>
          <cell r="L85">
            <v>0</v>
          </cell>
          <cell r="M85">
            <v>179</v>
          </cell>
          <cell r="N85">
            <v>6.6</v>
          </cell>
          <cell r="O85">
            <v>22629.67</v>
          </cell>
          <cell r="P85">
            <v>56.9</v>
          </cell>
        </row>
        <row r="86">
          <cell r="A86">
            <v>174.001</v>
          </cell>
          <cell r="C86" t="str">
            <v>FEMALE REPRODUCTIVE SYSTEM RECONSTRUCTIVE PROCEDURES                              </v>
          </cell>
          <cell r="D86">
            <v>0</v>
          </cell>
          <cell r="E86">
            <v>10</v>
          </cell>
          <cell r="F86">
            <v>66</v>
          </cell>
          <cell r="G86">
            <v>98</v>
          </cell>
          <cell r="H86">
            <v>0</v>
          </cell>
          <cell r="I86">
            <v>174</v>
          </cell>
          <cell r="J86">
            <v>0</v>
          </cell>
          <cell r="K86">
            <v>174</v>
          </cell>
          <cell r="L86">
            <v>0</v>
          </cell>
          <cell r="M86">
            <v>174</v>
          </cell>
          <cell r="N86">
            <v>1.3</v>
          </cell>
          <cell r="O86">
            <v>14799.7</v>
          </cell>
          <cell r="P86">
            <v>64.5</v>
          </cell>
        </row>
        <row r="87">
          <cell r="A87">
            <v>174</v>
          </cell>
          <cell r="C87" t="str">
            <v>RESPIRATORY MALIGNANCY                                                            </v>
          </cell>
          <cell r="D87">
            <v>0</v>
          </cell>
          <cell r="E87">
            <v>4</v>
          </cell>
          <cell r="F87">
            <v>54</v>
          </cell>
          <cell r="G87">
            <v>116</v>
          </cell>
          <cell r="H87">
            <v>0</v>
          </cell>
          <cell r="I87">
            <v>174</v>
          </cell>
          <cell r="J87">
            <v>87</v>
          </cell>
          <cell r="K87">
            <v>87</v>
          </cell>
          <cell r="L87">
            <v>0</v>
          </cell>
          <cell r="M87">
            <v>174</v>
          </cell>
          <cell r="N87">
            <v>7.2</v>
          </cell>
          <cell r="O87">
            <v>26283.41</v>
          </cell>
          <cell r="P87">
            <v>69.1</v>
          </cell>
        </row>
        <row r="88">
          <cell r="A88">
            <v>167</v>
          </cell>
          <cell r="C88" t="str">
            <v>OTHER SKIN, SUBCUTANEOUS TISSUE &amp; RELATED PROCEDURES                              </v>
          </cell>
          <cell r="D88">
            <v>3</v>
          </cell>
          <cell r="E88">
            <v>69</v>
          </cell>
          <cell r="F88">
            <v>62</v>
          </cell>
          <cell r="G88">
            <v>33</v>
          </cell>
          <cell r="H88">
            <v>0</v>
          </cell>
          <cell r="I88">
            <v>167</v>
          </cell>
          <cell r="J88">
            <v>77</v>
          </cell>
          <cell r="K88">
            <v>90</v>
          </cell>
          <cell r="L88">
            <v>0</v>
          </cell>
          <cell r="M88">
            <v>167</v>
          </cell>
          <cell r="N88">
            <v>5</v>
          </cell>
          <cell r="O88">
            <v>22134.63</v>
          </cell>
          <cell r="P88">
            <v>48.5</v>
          </cell>
        </row>
        <row r="89">
          <cell r="A89">
            <v>166</v>
          </cell>
          <cell r="C89" t="str">
            <v>ANGINA PECTORIS &amp; CORONARY ATHEROSCLEROSIS                                        </v>
          </cell>
          <cell r="D89">
            <v>0</v>
          </cell>
          <cell r="E89">
            <v>9</v>
          </cell>
          <cell r="F89">
            <v>57</v>
          </cell>
          <cell r="G89">
            <v>100</v>
          </cell>
          <cell r="H89">
            <v>0</v>
          </cell>
          <cell r="I89">
            <v>166</v>
          </cell>
          <cell r="J89">
            <v>84</v>
          </cell>
          <cell r="K89">
            <v>82</v>
          </cell>
          <cell r="L89">
            <v>0</v>
          </cell>
          <cell r="M89">
            <v>166</v>
          </cell>
          <cell r="N89">
            <v>2.2</v>
          </cell>
          <cell r="O89">
            <v>9640.78</v>
          </cell>
          <cell r="P89">
            <v>69.3</v>
          </cell>
        </row>
        <row r="90">
          <cell r="A90">
            <v>163</v>
          </cell>
          <cell r="C90" t="str">
            <v>MODERATELY EXTENSIVE PROCEDURE UNRELATED TO PRINCIPAL DIAGNOSIS                   </v>
          </cell>
          <cell r="D90">
            <v>3</v>
          </cell>
          <cell r="E90">
            <v>40</v>
          </cell>
          <cell r="F90">
            <v>48</v>
          </cell>
          <cell r="G90">
            <v>72</v>
          </cell>
          <cell r="H90">
            <v>0</v>
          </cell>
          <cell r="I90">
            <v>163</v>
          </cell>
          <cell r="J90">
            <v>84</v>
          </cell>
          <cell r="K90">
            <v>79</v>
          </cell>
          <cell r="L90">
            <v>0</v>
          </cell>
          <cell r="M90">
            <v>163</v>
          </cell>
          <cell r="N90">
            <v>11.1</v>
          </cell>
          <cell r="O90">
            <v>56928.12</v>
          </cell>
          <cell r="P90">
            <v>58.8</v>
          </cell>
        </row>
        <row r="91">
          <cell r="A91">
            <v>159</v>
          </cell>
          <cell r="C91" t="str">
            <v>THREATENED ABORTION                                                               </v>
          </cell>
          <cell r="D91">
            <v>4</v>
          </cell>
          <cell r="E91">
            <v>155</v>
          </cell>
          <cell r="F91">
            <v>0</v>
          </cell>
          <cell r="G91">
            <v>0</v>
          </cell>
          <cell r="H91">
            <v>0</v>
          </cell>
          <cell r="I91">
            <v>159</v>
          </cell>
          <cell r="J91">
            <v>0</v>
          </cell>
          <cell r="K91">
            <v>159</v>
          </cell>
          <cell r="L91">
            <v>0</v>
          </cell>
          <cell r="M91">
            <v>159</v>
          </cell>
          <cell r="N91">
            <v>5</v>
          </cell>
          <cell r="O91">
            <v>6593.67</v>
          </cell>
          <cell r="P91">
            <v>26.6</v>
          </cell>
        </row>
        <row r="92">
          <cell r="A92">
            <v>158</v>
          </cell>
          <cell r="C92" t="str">
            <v>CARDIAC VALVE PROCEDURES W/O CARDIAC CATHETERIZATION                              </v>
          </cell>
          <cell r="D92">
            <v>1</v>
          </cell>
          <cell r="E92">
            <v>8</v>
          </cell>
          <cell r="F92">
            <v>40</v>
          </cell>
          <cell r="G92">
            <v>109</v>
          </cell>
          <cell r="H92">
            <v>0</v>
          </cell>
          <cell r="I92">
            <v>158</v>
          </cell>
          <cell r="J92">
            <v>98</v>
          </cell>
          <cell r="K92">
            <v>60</v>
          </cell>
          <cell r="L92">
            <v>0</v>
          </cell>
          <cell r="M92">
            <v>158</v>
          </cell>
          <cell r="N92">
            <v>8.2</v>
          </cell>
          <cell r="O92">
            <v>85611.72</v>
          </cell>
          <cell r="P92">
            <v>68.5</v>
          </cell>
        </row>
        <row r="93">
          <cell r="A93">
            <v>157</v>
          </cell>
          <cell r="C93" t="str">
            <v>OTHER ESOPHAGEAL DISORDERS                                                        </v>
          </cell>
          <cell r="D93">
            <v>3</v>
          </cell>
          <cell r="E93">
            <v>28</v>
          </cell>
          <cell r="F93">
            <v>55</v>
          </cell>
          <cell r="G93">
            <v>71</v>
          </cell>
          <cell r="H93">
            <v>0</v>
          </cell>
          <cell r="I93">
            <v>157</v>
          </cell>
          <cell r="J93">
            <v>78</v>
          </cell>
          <cell r="K93">
            <v>79</v>
          </cell>
          <cell r="L93">
            <v>0</v>
          </cell>
          <cell r="M93">
            <v>157</v>
          </cell>
          <cell r="N93">
            <v>3.6</v>
          </cell>
          <cell r="O93">
            <v>15120.23</v>
          </cell>
          <cell r="P93">
            <v>60.7</v>
          </cell>
        </row>
        <row r="94">
          <cell r="A94">
            <v>156.001</v>
          </cell>
          <cell r="C94" t="str">
            <v>EXTENSIVE PROCEDURE UNRELATED TO PRINCIPAL DIAGNOSIS                              </v>
          </cell>
          <cell r="D94">
            <v>1</v>
          </cell>
          <cell r="E94">
            <v>45</v>
          </cell>
          <cell r="F94">
            <v>60</v>
          </cell>
          <cell r="G94">
            <v>50</v>
          </cell>
          <cell r="H94">
            <v>0</v>
          </cell>
          <cell r="I94">
            <v>156</v>
          </cell>
          <cell r="J94">
            <v>65</v>
          </cell>
          <cell r="K94">
            <v>91</v>
          </cell>
          <cell r="L94">
            <v>0</v>
          </cell>
          <cell r="M94">
            <v>156</v>
          </cell>
          <cell r="N94">
            <v>10.8</v>
          </cell>
          <cell r="O94">
            <v>64758.67</v>
          </cell>
          <cell r="P94">
            <v>55.6</v>
          </cell>
        </row>
        <row r="95">
          <cell r="A95">
            <v>156</v>
          </cell>
          <cell r="C95" t="str">
            <v>OTHER INFECTIOUS &amp; PARASITIC DISEASES                                             </v>
          </cell>
          <cell r="D95">
            <v>4</v>
          </cell>
          <cell r="E95">
            <v>23</v>
          </cell>
          <cell r="F95">
            <v>47</v>
          </cell>
          <cell r="G95">
            <v>82</v>
          </cell>
          <cell r="H95">
            <v>0</v>
          </cell>
          <cell r="I95">
            <v>156</v>
          </cell>
          <cell r="J95">
            <v>78</v>
          </cell>
          <cell r="K95">
            <v>78</v>
          </cell>
          <cell r="L95">
            <v>0</v>
          </cell>
          <cell r="M95">
            <v>156</v>
          </cell>
          <cell r="N95">
            <v>6.7</v>
          </cell>
          <cell r="O95">
            <v>26337.19</v>
          </cell>
          <cell r="P95">
            <v>62.7</v>
          </cell>
        </row>
        <row r="96">
          <cell r="A96">
            <v>155</v>
          </cell>
          <cell r="C96" t="str">
            <v>PERM CARDIAC PACEMAKER IMPLANT W/O AMI, HEART FAILURE OR SHOCK                    </v>
          </cell>
          <cell r="D96">
            <v>0</v>
          </cell>
          <cell r="E96">
            <v>1</v>
          </cell>
          <cell r="F96">
            <v>16</v>
          </cell>
          <cell r="G96">
            <v>138</v>
          </cell>
          <cell r="H96">
            <v>0</v>
          </cell>
          <cell r="I96">
            <v>155</v>
          </cell>
          <cell r="J96">
            <v>72</v>
          </cell>
          <cell r="K96">
            <v>83</v>
          </cell>
          <cell r="L96">
            <v>0</v>
          </cell>
          <cell r="M96">
            <v>155</v>
          </cell>
          <cell r="N96">
            <v>4.4</v>
          </cell>
          <cell r="O96">
            <v>53722.43</v>
          </cell>
          <cell r="P96">
            <v>78.3</v>
          </cell>
        </row>
        <row r="97">
          <cell r="A97">
            <v>153.001</v>
          </cell>
          <cell r="C97" t="str">
            <v>OTHER CIRCULATORY SYSTEM DIAGNOSES                                                </v>
          </cell>
          <cell r="D97">
            <v>3</v>
          </cell>
          <cell r="E97">
            <v>24</v>
          </cell>
          <cell r="F97">
            <v>52</v>
          </cell>
          <cell r="G97">
            <v>74</v>
          </cell>
          <cell r="H97">
            <v>0</v>
          </cell>
          <cell r="I97">
            <v>153</v>
          </cell>
          <cell r="J97">
            <v>75</v>
          </cell>
          <cell r="K97">
            <v>78</v>
          </cell>
          <cell r="L97">
            <v>0</v>
          </cell>
          <cell r="M97">
            <v>153</v>
          </cell>
          <cell r="N97">
            <v>4.3</v>
          </cell>
          <cell r="O97">
            <v>17130.34</v>
          </cell>
          <cell r="P97">
            <v>60.8</v>
          </cell>
        </row>
        <row r="98">
          <cell r="A98">
            <v>153</v>
          </cell>
          <cell r="C98" t="str">
            <v>NONTRAUMATIC STUPOR &amp; COMA                                                        </v>
          </cell>
          <cell r="D98">
            <v>0</v>
          </cell>
          <cell r="E98">
            <v>11</v>
          </cell>
          <cell r="F98">
            <v>47</v>
          </cell>
          <cell r="G98">
            <v>95</v>
          </cell>
          <cell r="H98">
            <v>0</v>
          </cell>
          <cell r="I98">
            <v>153</v>
          </cell>
          <cell r="J98">
            <v>64</v>
          </cell>
          <cell r="K98">
            <v>89</v>
          </cell>
          <cell r="L98">
            <v>0</v>
          </cell>
          <cell r="M98">
            <v>153</v>
          </cell>
          <cell r="N98">
            <v>6</v>
          </cell>
          <cell r="O98">
            <v>23527.15</v>
          </cell>
          <cell r="P98">
            <v>68.2</v>
          </cell>
        </row>
        <row r="99">
          <cell r="A99">
            <v>151.001</v>
          </cell>
          <cell r="C99" t="str">
            <v>NEONATE, BIRTHWT &gt;2499G W RESP DIST SYND/OTH MAJ RESP COND                        </v>
          </cell>
          <cell r="D99">
            <v>151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151</v>
          </cell>
          <cell r="J99">
            <v>95</v>
          </cell>
          <cell r="K99">
            <v>56</v>
          </cell>
          <cell r="L99">
            <v>0</v>
          </cell>
          <cell r="M99">
            <v>151</v>
          </cell>
          <cell r="N99">
            <v>11.7</v>
          </cell>
          <cell r="O99">
            <v>44538.14</v>
          </cell>
          <cell r="P99">
            <v>0</v>
          </cell>
        </row>
        <row r="100">
          <cell r="A100">
            <v>151</v>
          </cell>
          <cell r="C100" t="str">
            <v>OTHER KIDNEY &amp; URINARY TRACT DIAGNOSES, SIGNS &amp; SYMPTOMS                          </v>
          </cell>
          <cell r="D100">
            <v>1</v>
          </cell>
          <cell r="E100">
            <v>25</v>
          </cell>
          <cell r="F100">
            <v>41</v>
          </cell>
          <cell r="G100">
            <v>84</v>
          </cell>
          <cell r="H100">
            <v>0</v>
          </cell>
          <cell r="I100">
            <v>151</v>
          </cell>
          <cell r="J100">
            <v>85</v>
          </cell>
          <cell r="K100">
            <v>66</v>
          </cell>
          <cell r="L100">
            <v>0</v>
          </cell>
          <cell r="M100">
            <v>151</v>
          </cell>
          <cell r="N100">
            <v>4.3</v>
          </cell>
          <cell r="O100">
            <v>13956.23</v>
          </cell>
          <cell r="P100">
            <v>63.9</v>
          </cell>
        </row>
        <row r="101">
          <cell r="A101">
            <v>146</v>
          </cell>
          <cell r="C101" t="str">
            <v>CARDIAC DEFIBRILLATOR &amp; HEART ASSIST IMPLANT                                      </v>
          </cell>
          <cell r="D101">
            <v>0</v>
          </cell>
          <cell r="E101">
            <v>8</v>
          </cell>
          <cell r="F101">
            <v>44</v>
          </cell>
          <cell r="G101">
            <v>94</v>
          </cell>
          <cell r="H101">
            <v>0</v>
          </cell>
          <cell r="I101">
            <v>146</v>
          </cell>
          <cell r="J101">
            <v>105</v>
          </cell>
          <cell r="K101">
            <v>41</v>
          </cell>
          <cell r="L101">
            <v>0</v>
          </cell>
          <cell r="M101">
            <v>146</v>
          </cell>
          <cell r="N101">
            <v>7.6</v>
          </cell>
          <cell r="O101">
            <v>104379.19</v>
          </cell>
          <cell r="P101">
            <v>68.5</v>
          </cell>
        </row>
        <row r="102">
          <cell r="A102">
            <v>144</v>
          </cell>
          <cell r="C102" t="str">
            <v>DISORDERS OF GALLBLADDER &amp; BILIARY TRACT                                          </v>
          </cell>
          <cell r="D102">
            <v>0</v>
          </cell>
          <cell r="E102">
            <v>38</v>
          </cell>
          <cell r="F102">
            <v>52</v>
          </cell>
          <cell r="G102">
            <v>54</v>
          </cell>
          <cell r="H102">
            <v>0</v>
          </cell>
          <cell r="I102">
            <v>144</v>
          </cell>
          <cell r="J102">
            <v>61</v>
          </cell>
          <cell r="K102">
            <v>83</v>
          </cell>
          <cell r="L102">
            <v>0</v>
          </cell>
          <cell r="M102">
            <v>144</v>
          </cell>
          <cell r="N102">
            <v>4.8</v>
          </cell>
          <cell r="O102">
            <v>18702.89</v>
          </cell>
          <cell r="P102">
            <v>57.4</v>
          </cell>
        </row>
        <row r="103">
          <cell r="A103">
            <v>141</v>
          </cell>
          <cell r="C103" t="str">
            <v>CHEMOTHERAPY                                                                      </v>
          </cell>
          <cell r="D103">
            <v>2</v>
          </cell>
          <cell r="E103">
            <v>37</v>
          </cell>
          <cell r="F103">
            <v>55</v>
          </cell>
          <cell r="G103">
            <v>47</v>
          </cell>
          <cell r="H103">
            <v>0</v>
          </cell>
          <cell r="I103">
            <v>141</v>
          </cell>
          <cell r="J103">
            <v>72</v>
          </cell>
          <cell r="K103">
            <v>69</v>
          </cell>
          <cell r="L103">
            <v>0</v>
          </cell>
          <cell r="M103">
            <v>141</v>
          </cell>
          <cell r="N103">
            <v>4.9</v>
          </cell>
          <cell r="O103">
            <v>34192.03</v>
          </cell>
          <cell r="P103">
            <v>52.4</v>
          </cell>
        </row>
        <row r="104">
          <cell r="A104">
            <v>137</v>
          </cell>
          <cell r="C104" t="str">
            <v>OTHER EAR, NOSE, MOUTH,THROAT &amp; CRANIAL/FACIAL DIAGNOSES                          </v>
          </cell>
          <cell r="D104">
            <v>2</v>
          </cell>
          <cell r="E104">
            <v>32</v>
          </cell>
          <cell r="F104">
            <v>45</v>
          </cell>
          <cell r="G104">
            <v>58</v>
          </cell>
          <cell r="H104">
            <v>0</v>
          </cell>
          <cell r="I104">
            <v>137</v>
          </cell>
          <cell r="J104">
            <v>74</v>
          </cell>
          <cell r="K104">
            <v>63</v>
          </cell>
          <cell r="L104">
            <v>0</v>
          </cell>
          <cell r="M104">
            <v>137</v>
          </cell>
          <cell r="N104">
            <v>3.5</v>
          </cell>
          <cell r="O104">
            <v>12235.05</v>
          </cell>
          <cell r="P104">
            <v>58.6</v>
          </cell>
        </row>
        <row r="105">
          <cell r="A105">
            <v>136.001</v>
          </cell>
          <cell r="C105" t="str">
            <v>MULTIPLE SIGNIFICANT TRAUMA W/O O.R. PROCEDURE                                    </v>
          </cell>
          <cell r="D105">
            <v>5</v>
          </cell>
          <cell r="E105">
            <v>54</v>
          </cell>
          <cell r="F105">
            <v>33</v>
          </cell>
          <cell r="G105">
            <v>44</v>
          </cell>
          <cell r="H105">
            <v>0</v>
          </cell>
          <cell r="I105">
            <v>136</v>
          </cell>
          <cell r="J105">
            <v>83</v>
          </cell>
          <cell r="K105">
            <v>53</v>
          </cell>
          <cell r="L105">
            <v>0</v>
          </cell>
          <cell r="M105">
            <v>136</v>
          </cell>
          <cell r="N105">
            <v>6.6</v>
          </cell>
          <cell r="O105">
            <v>30361.81</v>
          </cell>
          <cell r="P105">
            <v>50.8</v>
          </cell>
        </row>
        <row r="106">
          <cell r="A106">
            <v>136</v>
          </cell>
          <cell r="C106" t="str">
            <v>MIGRAINE &amp; OTHER HEADACHES                                                        </v>
          </cell>
          <cell r="D106">
            <v>3</v>
          </cell>
          <cell r="E106">
            <v>75</v>
          </cell>
          <cell r="F106">
            <v>48</v>
          </cell>
          <cell r="G106">
            <v>10</v>
          </cell>
          <cell r="H106">
            <v>0</v>
          </cell>
          <cell r="I106">
            <v>136</v>
          </cell>
          <cell r="J106">
            <v>24</v>
          </cell>
          <cell r="K106">
            <v>112</v>
          </cell>
          <cell r="L106">
            <v>0</v>
          </cell>
          <cell r="M106">
            <v>136</v>
          </cell>
          <cell r="N106">
            <v>2.7</v>
          </cell>
          <cell r="O106">
            <v>11734.78</v>
          </cell>
          <cell r="P106">
            <v>42.7</v>
          </cell>
        </row>
        <row r="107">
          <cell r="A107">
            <v>135.001</v>
          </cell>
          <cell r="C107" t="str">
            <v>CONTUSION, OPEN WOUND &amp; OTHER TRAUMA TO SKIN &amp; SUBCUTANEOUS TISSUE                </v>
          </cell>
          <cell r="D107">
            <v>9</v>
          </cell>
          <cell r="E107">
            <v>52</v>
          </cell>
          <cell r="F107">
            <v>24</v>
          </cell>
          <cell r="G107">
            <v>50</v>
          </cell>
          <cell r="H107">
            <v>0</v>
          </cell>
          <cell r="I107">
            <v>135</v>
          </cell>
          <cell r="J107">
            <v>79</v>
          </cell>
          <cell r="K107">
            <v>56</v>
          </cell>
          <cell r="L107">
            <v>0</v>
          </cell>
          <cell r="M107">
            <v>135</v>
          </cell>
          <cell r="N107">
            <v>3</v>
          </cell>
          <cell r="O107">
            <v>13045.91</v>
          </cell>
          <cell r="P107">
            <v>52.6</v>
          </cell>
        </row>
        <row r="108">
          <cell r="A108">
            <v>135</v>
          </cell>
          <cell r="C108" t="str">
            <v>MAJOR CHEST &amp; RESPIRATORY TRAUMA                                                  </v>
          </cell>
          <cell r="D108">
            <v>2</v>
          </cell>
          <cell r="E108">
            <v>35</v>
          </cell>
          <cell r="F108">
            <v>44</v>
          </cell>
          <cell r="G108">
            <v>54</v>
          </cell>
          <cell r="H108">
            <v>0</v>
          </cell>
          <cell r="I108">
            <v>135</v>
          </cell>
          <cell r="J108">
            <v>83</v>
          </cell>
          <cell r="K108">
            <v>52</v>
          </cell>
          <cell r="L108">
            <v>0</v>
          </cell>
          <cell r="M108">
            <v>135</v>
          </cell>
          <cell r="N108">
            <v>3.8</v>
          </cell>
          <cell r="O108">
            <v>14665.54</v>
          </cell>
          <cell r="P108">
            <v>59.7</v>
          </cell>
        </row>
        <row r="109">
          <cell r="A109">
            <v>132.001</v>
          </cell>
          <cell r="C109" t="str">
            <v>OTHER COMPLICATIONS OF TREATMENT                                                  </v>
          </cell>
          <cell r="D109">
            <v>0</v>
          </cell>
          <cell r="E109">
            <v>39</v>
          </cell>
          <cell r="F109">
            <v>57</v>
          </cell>
          <cell r="G109">
            <v>36</v>
          </cell>
          <cell r="H109">
            <v>0</v>
          </cell>
          <cell r="I109">
            <v>132</v>
          </cell>
          <cell r="J109">
            <v>68</v>
          </cell>
          <cell r="K109">
            <v>64</v>
          </cell>
          <cell r="L109">
            <v>0</v>
          </cell>
          <cell r="M109">
            <v>132</v>
          </cell>
          <cell r="N109">
            <v>5.4</v>
          </cell>
          <cell r="O109">
            <v>22653.53</v>
          </cell>
          <cell r="P109">
            <v>52.8</v>
          </cell>
        </row>
        <row r="110">
          <cell r="A110">
            <v>132</v>
          </cell>
          <cell r="C110" t="str">
            <v>MALFUNCTION, REACTION, COMPLIC OF GENITOURINARY DEVICE OR PROC                    </v>
          </cell>
          <cell r="D110">
            <v>0</v>
          </cell>
          <cell r="E110">
            <v>24</v>
          </cell>
          <cell r="F110">
            <v>43</v>
          </cell>
          <cell r="G110">
            <v>65</v>
          </cell>
          <cell r="H110">
            <v>0</v>
          </cell>
          <cell r="I110">
            <v>132</v>
          </cell>
          <cell r="J110">
            <v>71</v>
          </cell>
          <cell r="K110">
            <v>61</v>
          </cell>
          <cell r="L110">
            <v>0</v>
          </cell>
          <cell r="M110">
            <v>132</v>
          </cell>
          <cell r="N110">
            <v>6</v>
          </cell>
          <cell r="O110">
            <v>23288.04</v>
          </cell>
          <cell r="P110">
            <v>62.4</v>
          </cell>
        </row>
        <row r="111">
          <cell r="A111">
            <v>131</v>
          </cell>
          <cell r="C111" t="str">
            <v>SICKLE CELL ANEMIA CRISIS                                                         </v>
          </cell>
          <cell r="D111">
            <v>0</v>
          </cell>
          <cell r="E111">
            <v>107</v>
          </cell>
          <cell r="F111">
            <v>23</v>
          </cell>
          <cell r="G111">
            <v>1</v>
          </cell>
          <cell r="H111">
            <v>0</v>
          </cell>
          <cell r="I111">
            <v>131</v>
          </cell>
          <cell r="J111">
            <v>52</v>
          </cell>
          <cell r="K111">
            <v>79</v>
          </cell>
          <cell r="L111">
            <v>0</v>
          </cell>
          <cell r="M111">
            <v>131</v>
          </cell>
          <cell r="N111">
            <v>5.4</v>
          </cell>
          <cell r="O111">
            <v>15565.27</v>
          </cell>
          <cell r="P111">
            <v>33.5</v>
          </cell>
        </row>
        <row r="112">
          <cell r="A112">
            <v>130</v>
          </cell>
          <cell r="C112" t="str">
            <v>CORONARY BYPASS W/O CARDIAC CATH OR PERCUTANEOUS CARDIAC PROCEDURE                </v>
          </cell>
          <cell r="D112">
            <v>0</v>
          </cell>
          <cell r="E112">
            <v>3</v>
          </cell>
          <cell r="F112">
            <v>53</v>
          </cell>
          <cell r="G112">
            <v>74</v>
          </cell>
          <cell r="H112">
            <v>0</v>
          </cell>
          <cell r="I112">
            <v>130</v>
          </cell>
          <cell r="J112">
            <v>102</v>
          </cell>
          <cell r="K112">
            <v>28</v>
          </cell>
          <cell r="L112">
            <v>0</v>
          </cell>
          <cell r="M112">
            <v>130</v>
          </cell>
          <cell r="N112">
            <v>6.7</v>
          </cell>
          <cell r="O112">
            <v>58610.21</v>
          </cell>
          <cell r="P112">
            <v>66.6</v>
          </cell>
        </row>
        <row r="113">
          <cell r="A113">
            <v>129</v>
          </cell>
          <cell r="C113" t="str">
            <v>MAJOR STOMACH, ESOPHAGEAL &amp; DUODENAL PROCEDURES                                   </v>
          </cell>
          <cell r="D113">
            <v>1</v>
          </cell>
          <cell r="E113">
            <v>21</v>
          </cell>
          <cell r="F113">
            <v>50</v>
          </cell>
          <cell r="G113">
            <v>57</v>
          </cell>
          <cell r="H113">
            <v>0</v>
          </cell>
          <cell r="I113">
            <v>129</v>
          </cell>
          <cell r="J113">
            <v>47</v>
          </cell>
          <cell r="K113">
            <v>82</v>
          </cell>
          <cell r="L113">
            <v>0</v>
          </cell>
          <cell r="M113">
            <v>129</v>
          </cell>
          <cell r="N113">
            <v>9.4</v>
          </cell>
          <cell r="O113">
            <v>52352.98</v>
          </cell>
          <cell r="P113">
            <v>61.1</v>
          </cell>
        </row>
        <row r="114">
          <cell r="A114">
            <v>127</v>
          </cell>
          <cell r="C114" t="str">
            <v>DEGENERATIVE NERVOUS SYSTEM DISORDERS EXC MULT SCLEROSIS                          </v>
          </cell>
          <cell r="D114">
            <v>2</v>
          </cell>
          <cell r="E114">
            <v>11</v>
          </cell>
          <cell r="F114">
            <v>20</v>
          </cell>
          <cell r="G114">
            <v>94</v>
          </cell>
          <cell r="H114">
            <v>0</v>
          </cell>
          <cell r="I114">
            <v>127</v>
          </cell>
          <cell r="J114">
            <v>71</v>
          </cell>
          <cell r="K114">
            <v>56</v>
          </cell>
          <cell r="L114">
            <v>0</v>
          </cell>
          <cell r="M114">
            <v>127</v>
          </cell>
          <cell r="N114">
            <v>6</v>
          </cell>
          <cell r="O114">
            <v>18899.49</v>
          </cell>
          <cell r="P114">
            <v>70.4</v>
          </cell>
        </row>
        <row r="115">
          <cell r="A115">
            <v>126</v>
          </cell>
          <cell r="C115" t="str">
            <v>INFLAMMATORY BOWEL DISEASE                                                        </v>
          </cell>
          <cell r="D115">
            <v>0</v>
          </cell>
          <cell r="E115">
            <v>75</v>
          </cell>
          <cell r="F115">
            <v>33</v>
          </cell>
          <cell r="G115">
            <v>18</v>
          </cell>
          <cell r="H115">
            <v>0</v>
          </cell>
          <cell r="I115">
            <v>126</v>
          </cell>
          <cell r="J115">
            <v>64</v>
          </cell>
          <cell r="K115">
            <v>62</v>
          </cell>
          <cell r="L115">
            <v>0</v>
          </cell>
          <cell r="M115">
            <v>126</v>
          </cell>
          <cell r="N115">
            <v>3.8</v>
          </cell>
          <cell r="O115">
            <v>12424.54</v>
          </cell>
          <cell r="P115">
            <v>42.9</v>
          </cell>
        </row>
        <row r="116">
          <cell r="A116">
            <v>122</v>
          </cell>
          <cell r="C116" t="str">
            <v>URETHRAL &amp; TRANSURETHRAL PROCEDURES                                               </v>
          </cell>
          <cell r="D116">
            <v>0</v>
          </cell>
          <cell r="E116">
            <v>37</v>
          </cell>
          <cell r="F116">
            <v>40</v>
          </cell>
          <cell r="G116">
            <v>45</v>
          </cell>
          <cell r="H116">
            <v>0</v>
          </cell>
          <cell r="I116">
            <v>122</v>
          </cell>
          <cell r="J116">
            <v>65</v>
          </cell>
          <cell r="K116">
            <v>57</v>
          </cell>
          <cell r="L116">
            <v>0</v>
          </cell>
          <cell r="M116">
            <v>122</v>
          </cell>
          <cell r="N116">
            <v>3.5</v>
          </cell>
          <cell r="O116">
            <v>16693.57</v>
          </cell>
          <cell r="P116">
            <v>56.6</v>
          </cell>
        </row>
        <row r="117">
          <cell r="A117">
            <v>119.001</v>
          </cell>
          <cell r="C117" t="str">
            <v>MUSCULOSKELETAL &amp; OTHER PROCEDURES FOR MULTIPLE SIGNIFICANT TRAUMA                </v>
          </cell>
          <cell r="D117">
            <v>6</v>
          </cell>
          <cell r="E117">
            <v>56</v>
          </cell>
          <cell r="F117">
            <v>29</v>
          </cell>
          <cell r="G117">
            <v>28</v>
          </cell>
          <cell r="H117">
            <v>0</v>
          </cell>
          <cell r="I117">
            <v>119</v>
          </cell>
          <cell r="J117">
            <v>83</v>
          </cell>
          <cell r="K117">
            <v>36</v>
          </cell>
          <cell r="L117">
            <v>0</v>
          </cell>
          <cell r="M117">
            <v>119</v>
          </cell>
          <cell r="N117">
            <v>15.5</v>
          </cell>
          <cell r="O117">
            <v>98142.68</v>
          </cell>
          <cell r="P117">
            <v>46.2</v>
          </cell>
        </row>
        <row r="118">
          <cell r="A118">
            <v>119</v>
          </cell>
          <cell r="C118" t="str">
            <v>OTHER RESPIRATORY &amp; CHEST PROCEDURES                                              </v>
          </cell>
          <cell r="D118">
            <v>0</v>
          </cell>
          <cell r="E118">
            <v>17</v>
          </cell>
          <cell r="F118">
            <v>56</v>
          </cell>
          <cell r="G118">
            <v>46</v>
          </cell>
          <cell r="H118">
            <v>0</v>
          </cell>
          <cell r="I118">
            <v>119</v>
          </cell>
          <cell r="J118">
            <v>55</v>
          </cell>
          <cell r="K118">
            <v>64</v>
          </cell>
          <cell r="L118">
            <v>0</v>
          </cell>
          <cell r="M118">
            <v>119</v>
          </cell>
          <cell r="N118">
            <v>8.3</v>
          </cell>
          <cell r="O118">
            <v>41375.98</v>
          </cell>
          <cell r="P118">
            <v>59.4</v>
          </cell>
        </row>
        <row r="119">
          <cell r="A119">
            <v>117</v>
          </cell>
          <cell r="C119" t="str">
            <v>MALFUNCTION, REACTION &amp; COMPLICATION OF GI DEVICE OR PROCEDURE                    </v>
          </cell>
          <cell r="D119">
            <v>0</v>
          </cell>
          <cell r="E119">
            <v>26</v>
          </cell>
          <cell r="F119">
            <v>55</v>
          </cell>
          <cell r="G119">
            <v>36</v>
          </cell>
          <cell r="H119">
            <v>0</v>
          </cell>
          <cell r="I119">
            <v>117</v>
          </cell>
          <cell r="J119">
            <v>61</v>
          </cell>
          <cell r="K119">
            <v>56</v>
          </cell>
          <cell r="L119">
            <v>0</v>
          </cell>
          <cell r="M119">
            <v>117</v>
          </cell>
          <cell r="N119">
            <v>5.3</v>
          </cell>
          <cell r="O119">
            <v>16949.09</v>
          </cell>
          <cell r="P119">
            <v>56</v>
          </cell>
        </row>
        <row r="120">
          <cell r="A120">
            <v>116</v>
          </cell>
          <cell r="C120" t="str">
            <v>FOOT &amp; TOE PROCEDURES                                                             </v>
          </cell>
          <cell r="D120">
            <v>3</v>
          </cell>
          <cell r="E120">
            <v>17</v>
          </cell>
          <cell r="F120">
            <v>54</v>
          </cell>
          <cell r="G120">
            <v>42</v>
          </cell>
          <cell r="H120">
            <v>0</v>
          </cell>
          <cell r="I120">
            <v>116</v>
          </cell>
          <cell r="J120">
            <v>77</v>
          </cell>
          <cell r="K120">
            <v>39</v>
          </cell>
          <cell r="L120">
            <v>0</v>
          </cell>
          <cell r="M120">
            <v>116</v>
          </cell>
          <cell r="N120">
            <v>7.9</v>
          </cell>
          <cell r="O120">
            <v>28244.44</v>
          </cell>
          <cell r="P120">
            <v>58</v>
          </cell>
        </row>
        <row r="121">
          <cell r="A121">
            <v>115.001</v>
          </cell>
          <cell r="C121" t="str">
            <v>SCHIZOPHRENIA                                                                     </v>
          </cell>
          <cell r="D121">
            <v>0</v>
          </cell>
          <cell r="E121">
            <v>57</v>
          </cell>
          <cell r="F121">
            <v>50</v>
          </cell>
          <cell r="G121">
            <v>8</v>
          </cell>
          <cell r="H121">
            <v>0</v>
          </cell>
          <cell r="I121">
            <v>115</v>
          </cell>
          <cell r="J121">
            <v>53</v>
          </cell>
          <cell r="K121">
            <v>62</v>
          </cell>
          <cell r="L121">
            <v>0</v>
          </cell>
          <cell r="M121">
            <v>115</v>
          </cell>
          <cell r="N121">
            <v>9</v>
          </cell>
          <cell r="O121">
            <v>13052.2</v>
          </cell>
          <cell r="P121">
            <v>43.4</v>
          </cell>
        </row>
        <row r="122">
          <cell r="A122">
            <v>115.001</v>
          </cell>
          <cell r="C122" t="str">
            <v>INFECTIOUS &amp; PARASITIC DISEASES INCLUDING HIV W O.R. PROCEDURE                    </v>
          </cell>
          <cell r="D122">
            <v>0</v>
          </cell>
          <cell r="E122">
            <v>13</v>
          </cell>
          <cell r="F122">
            <v>48</v>
          </cell>
          <cell r="G122">
            <v>54</v>
          </cell>
          <cell r="H122">
            <v>0</v>
          </cell>
          <cell r="I122">
            <v>115</v>
          </cell>
          <cell r="J122">
            <v>62</v>
          </cell>
          <cell r="K122">
            <v>53</v>
          </cell>
          <cell r="L122">
            <v>0</v>
          </cell>
          <cell r="M122">
            <v>115</v>
          </cell>
          <cell r="N122">
            <v>18.4</v>
          </cell>
          <cell r="O122">
            <v>97439.73</v>
          </cell>
          <cell r="P122">
            <v>63.8</v>
          </cell>
        </row>
        <row r="123">
          <cell r="A123">
            <v>115</v>
          </cell>
          <cell r="C123" t="str">
            <v>RESPIRATORY SYSTEM DIAGNOSIS W VENTILATOR SUPPORT 96+ HOURS                       </v>
          </cell>
          <cell r="D123">
            <v>4</v>
          </cell>
          <cell r="E123">
            <v>14</v>
          </cell>
          <cell r="F123">
            <v>38</v>
          </cell>
          <cell r="G123">
            <v>59</v>
          </cell>
          <cell r="H123">
            <v>0</v>
          </cell>
          <cell r="I123">
            <v>115</v>
          </cell>
          <cell r="J123">
            <v>51</v>
          </cell>
          <cell r="K123">
            <v>64</v>
          </cell>
          <cell r="L123">
            <v>0</v>
          </cell>
          <cell r="M123">
            <v>115</v>
          </cell>
          <cell r="N123">
            <v>19</v>
          </cell>
          <cell r="O123">
            <v>98320.78</v>
          </cell>
          <cell r="P123">
            <v>61.6</v>
          </cell>
        </row>
        <row r="124">
          <cell r="A124">
            <v>112</v>
          </cell>
          <cell r="C124" t="str">
            <v>NEONATE BIRTHWT &gt;2499G W MAJOR ANOMALY                                            </v>
          </cell>
          <cell r="D124">
            <v>112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112</v>
          </cell>
          <cell r="J124">
            <v>64</v>
          </cell>
          <cell r="K124">
            <v>48</v>
          </cell>
          <cell r="L124">
            <v>0</v>
          </cell>
          <cell r="M124">
            <v>112</v>
          </cell>
          <cell r="N124">
            <v>5.8</v>
          </cell>
          <cell r="O124">
            <v>16320.57</v>
          </cell>
          <cell r="P124">
            <v>0</v>
          </cell>
        </row>
        <row r="125">
          <cell r="A125">
            <v>109</v>
          </cell>
          <cell r="C125" t="str">
            <v>POSTPARTUM &amp; POST ABORTION DIAGNOSES W/O PROCEDURE                                </v>
          </cell>
          <cell r="D125">
            <v>7</v>
          </cell>
          <cell r="E125">
            <v>102</v>
          </cell>
          <cell r="F125">
            <v>0</v>
          </cell>
          <cell r="G125">
            <v>0</v>
          </cell>
          <cell r="H125">
            <v>0</v>
          </cell>
          <cell r="I125">
            <v>109</v>
          </cell>
          <cell r="J125">
            <v>0</v>
          </cell>
          <cell r="K125">
            <v>109</v>
          </cell>
          <cell r="L125">
            <v>0</v>
          </cell>
          <cell r="M125">
            <v>109</v>
          </cell>
          <cell r="N125">
            <v>2.9</v>
          </cell>
          <cell r="O125">
            <v>8529.61</v>
          </cell>
          <cell r="P125">
            <v>27.8</v>
          </cell>
        </row>
        <row r="126">
          <cell r="A126">
            <v>108</v>
          </cell>
          <cell r="C126" t="str">
            <v>OTHER ENDOCRINE DISORDERS                                                         </v>
          </cell>
          <cell r="D126">
            <v>0</v>
          </cell>
          <cell r="E126">
            <v>16</v>
          </cell>
          <cell r="F126">
            <v>34</v>
          </cell>
          <cell r="G126">
            <v>58</v>
          </cell>
          <cell r="H126">
            <v>0</v>
          </cell>
          <cell r="I126">
            <v>108</v>
          </cell>
          <cell r="J126">
            <v>40</v>
          </cell>
          <cell r="K126">
            <v>68</v>
          </cell>
          <cell r="L126">
            <v>0</v>
          </cell>
          <cell r="M126">
            <v>108</v>
          </cell>
          <cell r="N126">
            <v>5.1</v>
          </cell>
          <cell r="O126">
            <v>18031.7</v>
          </cell>
          <cell r="P126">
            <v>63.8</v>
          </cell>
        </row>
        <row r="127">
          <cell r="A127">
            <v>106</v>
          </cell>
          <cell r="C127" t="str">
            <v>OTHER DISORDERS OF THE LIVER                                                      </v>
          </cell>
          <cell r="D127">
            <v>5</v>
          </cell>
          <cell r="E127">
            <v>23</v>
          </cell>
          <cell r="F127">
            <v>52</v>
          </cell>
          <cell r="G127">
            <v>26</v>
          </cell>
          <cell r="H127">
            <v>0</v>
          </cell>
          <cell r="I127">
            <v>106</v>
          </cell>
          <cell r="J127">
            <v>55</v>
          </cell>
          <cell r="K127">
            <v>51</v>
          </cell>
          <cell r="L127">
            <v>0</v>
          </cell>
          <cell r="M127">
            <v>106</v>
          </cell>
          <cell r="N127">
            <v>4.8</v>
          </cell>
          <cell r="O127">
            <v>16862.4</v>
          </cell>
          <cell r="P127">
            <v>53.3</v>
          </cell>
        </row>
        <row r="128">
          <cell r="A128">
            <v>105</v>
          </cell>
          <cell r="C128" t="str">
            <v>POST-OP, POST-TRAUMA, OTHER DEVICE INFECTIONS W O.R. PROCEDURE                    </v>
          </cell>
          <cell r="D128">
            <v>1</v>
          </cell>
          <cell r="E128">
            <v>25</v>
          </cell>
          <cell r="F128">
            <v>55</v>
          </cell>
          <cell r="G128">
            <v>24</v>
          </cell>
          <cell r="H128">
            <v>0</v>
          </cell>
          <cell r="I128">
            <v>105</v>
          </cell>
          <cell r="J128">
            <v>36</v>
          </cell>
          <cell r="K128">
            <v>69</v>
          </cell>
          <cell r="L128">
            <v>0</v>
          </cell>
          <cell r="M128">
            <v>105</v>
          </cell>
          <cell r="N128">
            <v>9.1</v>
          </cell>
          <cell r="O128">
            <v>38744.48</v>
          </cell>
          <cell r="P128">
            <v>54.7</v>
          </cell>
        </row>
        <row r="129">
          <cell r="A129">
            <v>104</v>
          </cell>
          <cell r="C129" t="str">
            <v>MALIGNANCY OF HEPATOBILIARY SYSTEM &amp; PANCREAS                                     </v>
          </cell>
          <cell r="D129">
            <v>0</v>
          </cell>
          <cell r="E129">
            <v>6</v>
          </cell>
          <cell r="F129">
            <v>37</v>
          </cell>
          <cell r="G129">
            <v>61</v>
          </cell>
          <cell r="H129">
            <v>0</v>
          </cell>
          <cell r="I129">
            <v>104</v>
          </cell>
          <cell r="J129">
            <v>61</v>
          </cell>
          <cell r="K129">
            <v>43</v>
          </cell>
          <cell r="L129">
            <v>0</v>
          </cell>
          <cell r="M129">
            <v>104</v>
          </cell>
          <cell r="N129">
            <v>6.2</v>
          </cell>
          <cell r="O129">
            <v>22588.04</v>
          </cell>
          <cell r="P129">
            <v>67.6</v>
          </cell>
        </row>
        <row r="130">
          <cell r="A130">
            <v>103</v>
          </cell>
          <cell r="C130" t="str">
            <v>VAGINAL DELIVERY W STERILIZATION &amp;/OR D&amp;C                                         </v>
          </cell>
          <cell r="D130">
            <v>0</v>
          </cell>
          <cell r="E130">
            <v>103</v>
          </cell>
          <cell r="F130">
            <v>0</v>
          </cell>
          <cell r="G130">
            <v>0</v>
          </cell>
          <cell r="H130">
            <v>0</v>
          </cell>
          <cell r="I130">
            <v>103</v>
          </cell>
          <cell r="J130">
            <v>0</v>
          </cell>
          <cell r="K130">
            <v>103</v>
          </cell>
          <cell r="L130">
            <v>0</v>
          </cell>
          <cell r="M130">
            <v>103</v>
          </cell>
          <cell r="N130">
            <v>2.4</v>
          </cell>
          <cell r="O130">
            <v>8792.52</v>
          </cell>
          <cell r="P130">
            <v>30</v>
          </cell>
        </row>
        <row r="131">
          <cell r="A131">
            <v>101</v>
          </cell>
          <cell r="C131" t="str">
            <v>GASTROINTESTINAL VASCULAR INSUFFICIENCY                                           </v>
          </cell>
          <cell r="D131">
            <v>0</v>
          </cell>
          <cell r="E131">
            <v>5</v>
          </cell>
          <cell r="F131">
            <v>30</v>
          </cell>
          <cell r="G131">
            <v>66</v>
          </cell>
          <cell r="H131">
            <v>0</v>
          </cell>
          <cell r="I131">
            <v>101</v>
          </cell>
          <cell r="J131">
            <v>29</v>
          </cell>
          <cell r="K131">
            <v>72</v>
          </cell>
          <cell r="L131">
            <v>0</v>
          </cell>
          <cell r="M131">
            <v>101</v>
          </cell>
          <cell r="N131">
            <v>4.6</v>
          </cell>
          <cell r="O131">
            <v>16978.76</v>
          </cell>
          <cell r="P131">
            <v>69.4</v>
          </cell>
        </row>
        <row r="132">
          <cell r="A132">
            <v>100</v>
          </cell>
          <cell r="C132" t="str">
            <v>O.R. PROCEDURE FOR OTHER COMPLICATIONS OF TREATMENT                               </v>
          </cell>
          <cell r="D132">
            <v>1</v>
          </cell>
          <cell r="E132">
            <v>28</v>
          </cell>
          <cell r="F132">
            <v>40</v>
          </cell>
          <cell r="G132">
            <v>31</v>
          </cell>
          <cell r="H132">
            <v>0</v>
          </cell>
          <cell r="I132">
            <v>100</v>
          </cell>
          <cell r="J132">
            <v>38</v>
          </cell>
          <cell r="K132">
            <v>62</v>
          </cell>
          <cell r="L132">
            <v>0</v>
          </cell>
          <cell r="M132">
            <v>100</v>
          </cell>
          <cell r="N132">
            <v>6.6</v>
          </cell>
          <cell r="O132">
            <v>31446.51</v>
          </cell>
          <cell r="P132">
            <v>54.3</v>
          </cell>
        </row>
        <row r="133">
          <cell r="A133">
            <v>99</v>
          </cell>
          <cell r="C133" t="str">
            <v>VERTIGO &amp; OTHER LABYRINTH DISORDERS                                               </v>
          </cell>
          <cell r="D133">
            <v>0</v>
          </cell>
          <cell r="E133">
            <v>4</v>
          </cell>
          <cell r="F133">
            <v>29</v>
          </cell>
          <cell r="G133">
            <v>66</v>
          </cell>
          <cell r="H133">
            <v>0</v>
          </cell>
          <cell r="I133">
            <v>99</v>
          </cell>
          <cell r="J133">
            <v>34</v>
          </cell>
          <cell r="K133">
            <v>65</v>
          </cell>
          <cell r="L133">
            <v>0</v>
          </cell>
          <cell r="M133">
            <v>99</v>
          </cell>
          <cell r="N133">
            <v>2.5</v>
          </cell>
          <cell r="O133">
            <v>10892.56</v>
          </cell>
          <cell r="P133">
            <v>70</v>
          </cell>
        </row>
        <row r="134">
          <cell r="A134">
            <v>98</v>
          </cell>
          <cell r="C134" t="str">
            <v>TOXIC EFFECTS OF NON-MEDICINAL SUBSTANCES                                         </v>
          </cell>
          <cell r="D134">
            <v>1</v>
          </cell>
          <cell r="E134">
            <v>47</v>
          </cell>
          <cell r="F134">
            <v>46</v>
          </cell>
          <cell r="G134">
            <v>4</v>
          </cell>
          <cell r="H134">
            <v>0</v>
          </cell>
          <cell r="I134">
            <v>98</v>
          </cell>
          <cell r="J134">
            <v>59</v>
          </cell>
          <cell r="K134">
            <v>39</v>
          </cell>
          <cell r="L134">
            <v>0</v>
          </cell>
          <cell r="M134">
            <v>98</v>
          </cell>
          <cell r="N134">
            <v>4.7</v>
          </cell>
          <cell r="O134">
            <v>21538.78</v>
          </cell>
          <cell r="P134">
            <v>43.1</v>
          </cell>
        </row>
        <row r="135">
          <cell r="A135">
            <v>97.001</v>
          </cell>
          <cell r="C135" t="str">
            <v>MAJOR HEMATOLOGIC/IMMUNOLOGIC DIAG EXC SICKLE CELL CRISIS &amp; COAGUL                </v>
          </cell>
          <cell r="D135">
            <v>0</v>
          </cell>
          <cell r="E135">
            <v>21</v>
          </cell>
          <cell r="F135">
            <v>40</v>
          </cell>
          <cell r="G135">
            <v>36</v>
          </cell>
          <cell r="H135">
            <v>0</v>
          </cell>
          <cell r="I135">
            <v>97</v>
          </cell>
          <cell r="J135">
            <v>45</v>
          </cell>
          <cell r="K135">
            <v>52</v>
          </cell>
          <cell r="L135">
            <v>0</v>
          </cell>
          <cell r="M135">
            <v>97</v>
          </cell>
          <cell r="N135">
            <v>5.9</v>
          </cell>
          <cell r="O135">
            <v>26821.06</v>
          </cell>
          <cell r="P135">
            <v>56</v>
          </cell>
        </row>
        <row r="136">
          <cell r="A136">
            <v>97</v>
          </cell>
          <cell r="C136" t="str">
            <v>INFECTIONS OF UPPER RESPIRATORY TRACT                                             </v>
          </cell>
          <cell r="D136">
            <v>7</v>
          </cell>
          <cell r="E136">
            <v>46</v>
          </cell>
          <cell r="F136">
            <v>23</v>
          </cell>
          <cell r="G136">
            <v>21</v>
          </cell>
          <cell r="H136">
            <v>0</v>
          </cell>
          <cell r="I136">
            <v>97</v>
          </cell>
          <cell r="J136">
            <v>41</v>
          </cell>
          <cell r="K136">
            <v>56</v>
          </cell>
          <cell r="L136">
            <v>0</v>
          </cell>
          <cell r="M136">
            <v>97</v>
          </cell>
          <cell r="N136">
            <v>3.1</v>
          </cell>
          <cell r="O136">
            <v>10989.78</v>
          </cell>
          <cell r="P136">
            <v>44.9</v>
          </cell>
        </row>
        <row r="137">
          <cell r="A137">
            <v>96</v>
          </cell>
          <cell r="C137" t="str">
            <v>KIDNEY &amp; URINARY TRACT PROCEDURES FOR NONMALIGNANCY                               </v>
          </cell>
          <cell r="D137">
            <v>0</v>
          </cell>
          <cell r="E137">
            <v>22</v>
          </cell>
          <cell r="F137">
            <v>45</v>
          </cell>
          <cell r="G137">
            <v>29</v>
          </cell>
          <cell r="H137">
            <v>0</v>
          </cell>
          <cell r="I137">
            <v>96</v>
          </cell>
          <cell r="J137">
            <v>54</v>
          </cell>
          <cell r="K137">
            <v>42</v>
          </cell>
          <cell r="L137">
            <v>0</v>
          </cell>
          <cell r="M137">
            <v>96</v>
          </cell>
          <cell r="N137">
            <v>5.8</v>
          </cell>
          <cell r="O137">
            <v>27590.32</v>
          </cell>
          <cell r="P137">
            <v>56.4</v>
          </cell>
        </row>
        <row r="138">
          <cell r="A138">
            <v>94</v>
          </cell>
          <cell r="C138" t="str">
            <v>TENDON, MUSCLE &amp; OTHER SOFT TISSUE PROCEDURES                                     </v>
          </cell>
          <cell r="D138">
            <v>2</v>
          </cell>
          <cell r="E138">
            <v>31</v>
          </cell>
          <cell r="F138">
            <v>35</v>
          </cell>
          <cell r="G138">
            <v>26</v>
          </cell>
          <cell r="H138">
            <v>0</v>
          </cell>
          <cell r="I138">
            <v>94</v>
          </cell>
          <cell r="J138">
            <v>60</v>
          </cell>
          <cell r="K138">
            <v>34</v>
          </cell>
          <cell r="L138">
            <v>0</v>
          </cell>
          <cell r="M138">
            <v>94</v>
          </cell>
          <cell r="N138">
            <v>4.6</v>
          </cell>
          <cell r="O138">
            <v>21205.94</v>
          </cell>
          <cell r="P138">
            <v>52.1</v>
          </cell>
        </row>
        <row r="139">
          <cell r="A139">
            <v>91.001</v>
          </cell>
          <cell r="C139" t="str">
            <v>KIDNEY &amp; URINARY TRACT PROCEDURES FOR MALIGNANCY                                  </v>
          </cell>
          <cell r="D139">
            <v>0</v>
          </cell>
          <cell r="E139">
            <v>8</v>
          </cell>
          <cell r="F139">
            <v>42</v>
          </cell>
          <cell r="G139">
            <v>41</v>
          </cell>
          <cell r="H139">
            <v>0</v>
          </cell>
          <cell r="I139">
            <v>91</v>
          </cell>
          <cell r="J139">
            <v>55</v>
          </cell>
          <cell r="K139">
            <v>36</v>
          </cell>
          <cell r="L139">
            <v>0</v>
          </cell>
          <cell r="M139">
            <v>91</v>
          </cell>
          <cell r="N139">
            <v>4.3</v>
          </cell>
          <cell r="O139">
            <v>20987.6</v>
          </cell>
          <cell r="P139">
            <v>62.3</v>
          </cell>
        </row>
        <row r="140">
          <cell r="A140">
            <v>91</v>
          </cell>
          <cell r="C140" t="str">
            <v>OTHER SKIN, SUBCUTANEOUS TISSUE &amp; BREAST DISORDERS                                </v>
          </cell>
          <cell r="D140">
            <v>5</v>
          </cell>
          <cell r="E140">
            <v>22</v>
          </cell>
          <cell r="F140">
            <v>36</v>
          </cell>
          <cell r="G140">
            <v>28</v>
          </cell>
          <cell r="H140">
            <v>0</v>
          </cell>
          <cell r="I140">
            <v>91</v>
          </cell>
          <cell r="J140">
            <v>33</v>
          </cell>
          <cell r="K140">
            <v>58</v>
          </cell>
          <cell r="L140">
            <v>0</v>
          </cell>
          <cell r="M140">
            <v>91</v>
          </cell>
          <cell r="N140">
            <v>3.8</v>
          </cell>
          <cell r="O140">
            <v>11417.94</v>
          </cell>
          <cell r="P140">
            <v>52.3</v>
          </cell>
        </row>
        <row r="141">
          <cell r="A141">
            <v>90</v>
          </cell>
          <cell r="C141" t="str">
            <v>CRANIOTOMY FOR TRAUMA                                                             </v>
          </cell>
          <cell r="D141">
            <v>6</v>
          </cell>
          <cell r="E141">
            <v>12</v>
          </cell>
          <cell r="F141">
            <v>11</v>
          </cell>
          <cell r="G141">
            <v>61</v>
          </cell>
          <cell r="H141">
            <v>0</v>
          </cell>
          <cell r="I141">
            <v>90</v>
          </cell>
          <cell r="J141">
            <v>54</v>
          </cell>
          <cell r="K141">
            <v>36</v>
          </cell>
          <cell r="L141">
            <v>0</v>
          </cell>
          <cell r="M141">
            <v>90</v>
          </cell>
          <cell r="N141">
            <v>12.4</v>
          </cell>
          <cell r="O141">
            <v>66532.13</v>
          </cell>
          <cell r="P141">
            <v>63.3</v>
          </cell>
        </row>
        <row r="142">
          <cell r="A142">
            <v>88.001</v>
          </cell>
          <cell r="C142" t="str">
            <v>ALCOHOLIC LIVER DISEASE                                                           </v>
          </cell>
          <cell r="D142">
            <v>0</v>
          </cell>
          <cell r="E142">
            <v>14</v>
          </cell>
          <cell r="F142">
            <v>65</v>
          </cell>
          <cell r="G142">
            <v>9</v>
          </cell>
          <cell r="H142">
            <v>0</v>
          </cell>
          <cell r="I142">
            <v>88</v>
          </cell>
          <cell r="J142">
            <v>66</v>
          </cell>
          <cell r="K142">
            <v>22</v>
          </cell>
          <cell r="L142">
            <v>0</v>
          </cell>
          <cell r="M142">
            <v>88</v>
          </cell>
          <cell r="N142">
            <v>8.2</v>
          </cell>
          <cell r="O142">
            <v>30070.17</v>
          </cell>
          <cell r="P142">
            <v>51.8</v>
          </cell>
        </row>
        <row r="143">
          <cell r="A143">
            <v>88</v>
          </cell>
          <cell r="C143" t="str">
            <v>DIGESTIVE MALIGNANCY                                                              </v>
          </cell>
          <cell r="D143">
            <v>0</v>
          </cell>
          <cell r="E143">
            <v>11</v>
          </cell>
          <cell r="F143">
            <v>36</v>
          </cell>
          <cell r="G143">
            <v>41</v>
          </cell>
          <cell r="H143">
            <v>0</v>
          </cell>
          <cell r="I143">
            <v>88</v>
          </cell>
          <cell r="J143">
            <v>42</v>
          </cell>
          <cell r="K143">
            <v>46</v>
          </cell>
          <cell r="L143">
            <v>0</v>
          </cell>
          <cell r="M143">
            <v>88</v>
          </cell>
          <cell r="N143">
            <v>7</v>
          </cell>
          <cell r="O143">
            <v>23915.69</v>
          </cell>
          <cell r="P143">
            <v>65.2</v>
          </cell>
        </row>
        <row r="144">
          <cell r="A144">
            <v>87.001</v>
          </cell>
          <cell r="C144" t="str">
            <v>SKIN GRAFT FOR SKIN &amp; SUBCUTANEOUS TISSUE DIAGNOSES                               </v>
          </cell>
          <cell r="D144">
            <v>0</v>
          </cell>
          <cell r="E144">
            <v>21</v>
          </cell>
          <cell r="F144">
            <v>32</v>
          </cell>
          <cell r="G144">
            <v>34</v>
          </cell>
          <cell r="H144">
            <v>0</v>
          </cell>
          <cell r="I144">
            <v>87</v>
          </cell>
          <cell r="J144">
            <v>48</v>
          </cell>
          <cell r="K144">
            <v>39</v>
          </cell>
          <cell r="L144">
            <v>0</v>
          </cell>
          <cell r="M144">
            <v>87</v>
          </cell>
          <cell r="N144">
            <v>7.3</v>
          </cell>
          <cell r="O144">
            <v>29372.7</v>
          </cell>
          <cell r="P144">
            <v>58</v>
          </cell>
        </row>
        <row r="145">
          <cell r="A145">
            <v>87.001</v>
          </cell>
          <cell r="C145" t="str">
            <v>CHOLECYSTECTOMY EXCEPT LAPAROSCOPIC                                               </v>
          </cell>
          <cell r="D145">
            <v>0</v>
          </cell>
          <cell r="E145">
            <v>19</v>
          </cell>
          <cell r="F145">
            <v>33</v>
          </cell>
          <cell r="G145">
            <v>35</v>
          </cell>
          <cell r="H145">
            <v>0</v>
          </cell>
          <cell r="I145">
            <v>87</v>
          </cell>
          <cell r="J145">
            <v>40</v>
          </cell>
          <cell r="K145">
            <v>47</v>
          </cell>
          <cell r="L145">
            <v>0</v>
          </cell>
          <cell r="M145">
            <v>87</v>
          </cell>
          <cell r="N145">
            <v>8.3</v>
          </cell>
          <cell r="O145">
            <v>38773.29</v>
          </cell>
          <cell r="P145">
            <v>60</v>
          </cell>
        </row>
        <row r="146">
          <cell r="A146">
            <v>87</v>
          </cell>
          <cell r="C146" t="str">
            <v>MULTIPLE SCLEROSIS &amp; OTHER DEMYELINATING DISEASES                                 </v>
          </cell>
          <cell r="D146">
            <v>1</v>
          </cell>
          <cell r="E146">
            <v>44</v>
          </cell>
          <cell r="F146">
            <v>40</v>
          </cell>
          <cell r="G146">
            <v>2</v>
          </cell>
          <cell r="H146">
            <v>0</v>
          </cell>
          <cell r="I146">
            <v>87</v>
          </cell>
          <cell r="J146">
            <v>31</v>
          </cell>
          <cell r="K146">
            <v>56</v>
          </cell>
          <cell r="L146">
            <v>0</v>
          </cell>
          <cell r="M146">
            <v>87</v>
          </cell>
          <cell r="N146">
            <v>4.2</v>
          </cell>
          <cell r="O146">
            <v>16426.93</v>
          </cell>
          <cell r="P146">
            <v>41.5</v>
          </cell>
        </row>
        <row r="147">
          <cell r="A147">
            <v>86.001</v>
          </cell>
          <cell r="C147" t="str">
            <v>OTHER SMALL &amp; LARGE BOWEL PROCEDURES                                              </v>
          </cell>
          <cell r="D147">
            <v>0</v>
          </cell>
          <cell r="E147">
            <v>23</v>
          </cell>
          <cell r="F147">
            <v>38</v>
          </cell>
          <cell r="G147">
            <v>25</v>
          </cell>
          <cell r="H147">
            <v>0</v>
          </cell>
          <cell r="I147">
            <v>86</v>
          </cell>
          <cell r="J147">
            <v>44</v>
          </cell>
          <cell r="K147">
            <v>42</v>
          </cell>
          <cell r="L147">
            <v>0</v>
          </cell>
          <cell r="M147">
            <v>86</v>
          </cell>
          <cell r="N147">
            <v>6.5</v>
          </cell>
          <cell r="O147">
            <v>27868.81</v>
          </cell>
          <cell r="P147">
            <v>54.8</v>
          </cell>
        </row>
        <row r="148">
          <cell r="A148">
            <v>86</v>
          </cell>
          <cell r="C148" t="str">
            <v>SPINAL PROCEDURES                                                                 </v>
          </cell>
          <cell r="D148">
            <v>1</v>
          </cell>
          <cell r="E148">
            <v>21</v>
          </cell>
          <cell r="F148">
            <v>43</v>
          </cell>
          <cell r="G148">
            <v>21</v>
          </cell>
          <cell r="H148">
            <v>0</v>
          </cell>
          <cell r="I148">
            <v>86</v>
          </cell>
          <cell r="J148">
            <v>42</v>
          </cell>
          <cell r="K148">
            <v>44</v>
          </cell>
          <cell r="L148">
            <v>0</v>
          </cell>
          <cell r="M148">
            <v>86</v>
          </cell>
          <cell r="N148">
            <v>8</v>
          </cell>
          <cell r="O148">
            <v>44627.34</v>
          </cell>
          <cell r="P148">
            <v>53.5</v>
          </cell>
        </row>
        <row r="149">
          <cell r="A149">
            <v>85.001</v>
          </cell>
          <cell r="C149" t="str">
            <v>FEVER                                                                             </v>
          </cell>
          <cell r="D149">
            <v>9</v>
          </cell>
          <cell r="E149">
            <v>16</v>
          </cell>
          <cell r="F149">
            <v>25</v>
          </cell>
          <cell r="G149">
            <v>35</v>
          </cell>
          <cell r="H149">
            <v>0</v>
          </cell>
          <cell r="I149">
            <v>85</v>
          </cell>
          <cell r="J149">
            <v>46</v>
          </cell>
          <cell r="K149">
            <v>39</v>
          </cell>
          <cell r="L149">
            <v>0</v>
          </cell>
          <cell r="M149">
            <v>85</v>
          </cell>
          <cell r="N149">
            <v>2.8</v>
          </cell>
          <cell r="O149">
            <v>10155.4</v>
          </cell>
          <cell r="P149">
            <v>55.2</v>
          </cell>
        </row>
        <row r="150">
          <cell r="A150">
            <v>85</v>
          </cell>
          <cell r="C150" t="str">
            <v>FRACTURE OF PELVIS OR DISLOCATION OF HIP                                          </v>
          </cell>
          <cell r="D150">
            <v>1</v>
          </cell>
          <cell r="E150">
            <v>6</v>
          </cell>
          <cell r="F150">
            <v>6</v>
          </cell>
          <cell r="G150">
            <v>72</v>
          </cell>
          <cell r="H150">
            <v>0</v>
          </cell>
          <cell r="I150">
            <v>85</v>
          </cell>
          <cell r="J150">
            <v>16</v>
          </cell>
          <cell r="K150">
            <v>69</v>
          </cell>
          <cell r="L150">
            <v>0</v>
          </cell>
          <cell r="M150">
            <v>85</v>
          </cell>
          <cell r="N150">
            <v>3.8</v>
          </cell>
          <cell r="O150">
            <v>11165.87</v>
          </cell>
          <cell r="P150">
            <v>76.8</v>
          </cell>
        </row>
        <row r="151">
          <cell r="A151">
            <v>84</v>
          </cell>
          <cell r="C151" t="str">
            <v>NERVOUS SYSTEM MALIGNANCY                                                         </v>
          </cell>
          <cell r="D151">
            <v>0</v>
          </cell>
          <cell r="E151">
            <v>10</v>
          </cell>
          <cell r="F151">
            <v>42</v>
          </cell>
          <cell r="G151">
            <v>32</v>
          </cell>
          <cell r="H151">
            <v>0</v>
          </cell>
          <cell r="I151">
            <v>84</v>
          </cell>
          <cell r="J151">
            <v>40</v>
          </cell>
          <cell r="K151">
            <v>44</v>
          </cell>
          <cell r="L151">
            <v>0</v>
          </cell>
          <cell r="M151">
            <v>84</v>
          </cell>
          <cell r="N151">
            <v>5.7</v>
          </cell>
          <cell r="O151">
            <v>21206.68</v>
          </cell>
          <cell r="P151">
            <v>60.2</v>
          </cell>
        </row>
        <row r="152">
          <cell r="A152">
            <v>83.001</v>
          </cell>
          <cell r="C152" t="str">
            <v>HYPERTENSION                                                                      </v>
          </cell>
          <cell r="D152">
            <v>0</v>
          </cell>
          <cell r="E152">
            <v>13</v>
          </cell>
          <cell r="F152">
            <v>33</v>
          </cell>
          <cell r="G152">
            <v>37</v>
          </cell>
          <cell r="H152">
            <v>0</v>
          </cell>
          <cell r="I152">
            <v>83</v>
          </cell>
          <cell r="J152">
            <v>27</v>
          </cell>
          <cell r="K152">
            <v>56</v>
          </cell>
          <cell r="L152">
            <v>0</v>
          </cell>
          <cell r="M152">
            <v>83</v>
          </cell>
          <cell r="N152">
            <v>2.9</v>
          </cell>
          <cell r="O152">
            <v>11744.2</v>
          </cell>
          <cell r="P152">
            <v>61.7</v>
          </cell>
        </row>
        <row r="153">
          <cell r="A153">
            <v>83</v>
          </cell>
          <cell r="C153" t="str">
            <v>MAJOR RESPIRATORY &amp; CHEST PROCEDURES                                              </v>
          </cell>
          <cell r="D153">
            <v>0</v>
          </cell>
          <cell r="E153">
            <v>7</v>
          </cell>
          <cell r="F153">
            <v>38</v>
          </cell>
          <cell r="G153">
            <v>38</v>
          </cell>
          <cell r="H153">
            <v>0</v>
          </cell>
          <cell r="I153">
            <v>83</v>
          </cell>
          <cell r="J153">
            <v>33</v>
          </cell>
          <cell r="K153">
            <v>50</v>
          </cell>
          <cell r="L153">
            <v>0</v>
          </cell>
          <cell r="M153">
            <v>83</v>
          </cell>
          <cell r="N153">
            <v>6.8</v>
          </cell>
          <cell r="O153">
            <v>41190.59</v>
          </cell>
          <cell r="P153">
            <v>62</v>
          </cell>
        </row>
        <row r="154">
          <cell r="A154">
            <v>78</v>
          </cell>
          <cell r="C154" t="str">
            <v>MAJOR PANCREAS, LIVER &amp; SHUNT PROCEDURES                                          </v>
          </cell>
          <cell r="D154">
            <v>0</v>
          </cell>
          <cell r="E154">
            <v>15</v>
          </cell>
          <cell r="F154">
            <v>32</v>
          </cell>
          <cell r="G154">
            <v>31</v>
          </cell>
          <cell r="H154">
            <v>0</v>
          </cell>
          <cell r="I154">
            <v>78</v>
          </cell>
          <cell r="J154">
            <v>39</v>
          </cell>
          <cell r="K154">
            <v>39</v>
          </cell>
          <cell r="L154">
            <v>0</v>
          </cell>
          <cell r="M154">
            <v>78</v>
          </cell>
          <cell r="N154">
            <v>8.8</v>
          </cell>
          <cell r="O154">
            <v>52685.13</v>
          </cell>
          <cell r="P154">
            <v>58.5</v>
          </cell>
        </row>
        <row r="155">
          <cell r="A155">
            <v>77</v>
          </cell>
          <cell r="C155" t="str">
            <v>NONEXTENSIVE PROCEDURE UNRELATED TO PRINCIPAL DIAGNOSIS                           </v>
          </cell>
          <cell r="D155">
            <v>5</v>
          </cell>
          <cell r="E155">
            <v>18</v>
          </cell>
          <cell r="F155">
            <v>20</v>
          </cell>
          <cell r="G155">
            <v>34</v>
          </cell>
          <cell r="H155">
            <v>0</v>
          </cell>
          <cell r="I155">
            <v>77</v>
          </cell>
          <cell r="J155">
            <v>41</v>
          </cell>
          <cell r="K155">
            <v>36</v>
          </cell>
          <cell r="L155">
            <v>0</v>
          </cell>
          <cell r="M155">
            <v>77</v>
          </cell>
          <cell r="N155">
            <v>8.6</v>
          </cell>
          <cell r="O155">
            <v>37803.39</v>
          </cell>
          <cell r="P155">
            <v>57.4</v>
          </cell>
        </row>
        <row r="156">
          <cell r="A156">
            <v>76</v>
          </cell>
          <cell r="C156" t="str">
            <v>OTHER MUSCULOSKELETAL SYSTEM &amp; CONNECTIVE TISSUE PROCEDURES                       </v>
          </cell>
          <cell r="D156">
            <v>1</v>
          </cell>
          <cell r="E156">
            <v>22</v>
          </cell>
          <cell r="F156">
            <v>28</v>
          </cell>
          <cell r="G156">
            <v>25</v>
          </cell>
          <cell r="H156">
            <v>0</v>
          </cell>
          <cell r="I156">
            <v>76</v>
          </cell>
          <cell r="J156">
            <v>36</v>
          </cell>
          <cell r="K156">
            <v>40</v>
          </cell>
          <cell r="L156">
            <v>0</v>
          </cell>
          <cell r="M156">
            <v>76</v>
          </cell>
          <cell r="N156">
            <v>6.6</v>
          </cell>
          <cell r="O156">
            <v>29658.34</v>
          </cell>
          <cell r="P156">
            <v>55.3</v>
          </cell>
        </row>
        <row r="157">
          <cell r="A157">
            <v>74</v>
          </cell>
          <cell r="C157" t="str">
            <v>OSTEOMYELITIS, SEPTIC ARTHRITIS &amp; OTHER MUSCULOSKELETAL INFECTIONS                </v>
          </cell>
          <cell r="D157">
            <v>0</v>
          </cell>
          <cell r="E157">
            <v>19</v>
          </cell>
          <cell r="F157">
            <v>31</v>
          </cell>
          <cell r="G157">
            <v>24</v>
          </cell>
          <cell r="H157">
            <v>0</v>
          </cell>
          <cell r="I157">
            <v>74</v>
          </cell>
          <cell r="J157">
            <v>45</v>
          </cell>
          <cell r="K157">
            <v>29</v>
          </cell>
          <cell r="L157">
            <v>0</v>
          </cell>
          <cell r="M157">
            <v>74</v>
          </cell>
          <cell r="N157">
            <v>7.6</v>
          </cell>
          <cell r="O157">
            <v>24282.91</v>
          </cell>
          <cell r="P157">
            <v>57.1</v>
          </cell>
        </row>
        <row r="158">
          <cell r="A158">
            <v>73</v>
          </cell>
          <cell r="C158" t="str">
            <v>CARDIAC VALVE PROCEDURES W CARDIAC CATHETERIZATION                                </v>
          </cell>
          <cell r="D158">
            <v>0</v>
          </cell>
          <cell r="E158">
            <v>4</v>
          </cell>
          <cell r="F158">
            <v>12</v>
          </cell>
          <cell r="G158">
            <v>57</v>
          </cell>
          <cell r="H158">
            <v>0</v>
          </cell>
          <cell r="I158">
            <v>73</v>
          </cell>
          <cell r="J158">
            <v>38</v>
          </cell>
          <cell r="K158">
            <v>35</v>
          </cell>
          <cell r="L158">
            <v>0</v>
          </cell>
          <cell r="M158">
            <v>73</v>
          </cell>
          <cell r="N158">
            <v>11.9</v>
          </cell>
          <cell r="O158">
            <v>98398.76</v>
          </cell>
          <cell r="P158">
            <v>72.1</v>
          </cell>
        </row>
        <row r="159">
          <cell r="A159">
            <v>72</v>
          </cell>
          <cell r="C159" t="str">
            <v>MENSTRUAL &amp; OTHER FEMALE REPRODUCTIVE SYSTEM DISORDERS                            </v>
          </cell>
          <cell r="D159">
            <v>2</v>
          </cell>
          <cell r="E159">
            <v>45</v>
          </cell>
          <cell r="F159">
            <v>19</v>
          </cell>
          <cell r="G159">
            <v>6</v>
          </cell>
          <cell r="H159">
            <v>0</v>
          </cell>
          <cell r="I159">
            <v>72</v>
          </cell>
          <cell r="J159">
            <v>0</v>
          </cell>
          <cell r="K159">
            <v>72</v>
          </cell>
          <cell r="L159">
            <v>0</v>
          </cell>
          <cell r="M159">
            <v>72</v>
          </cell>
          <cell r="N159">
            <v>2.2</v>
          </cell>
          <cell r="O159">
            <v>9669.28</v>
          </cell>
          <cell r="P159">
            <v>40.9</v>
          </cell>
        </row>
        <row r="160">
          <cell r="A160">
            <v>71</v>
          </cell>
          <cell r="C160" t="str">
            <v>ORGANIC MENTAL HEALTH DISTURBANCES                                                </v>
          </cell>
          <cell r="D160">
            <v>0</v>
          </cell>
          <cell r="E160">
            <v>0</v>
          </cell>
          <cell r="F160">
            <v>3</v>
          </cell>
          <cell r="G160">
            <v>68</v>
          </cell>
          <cell r="H160">
            <v>0</v>
          </cell>
          <cell r="I160">
            <v>71</v>
          </cell>
          <cell r="J160">
            <v>32</v>
          </cell>
          <cell r="K160">
            <v>39</v>
          </cell>
          <cell r="L160">
            <v>0</v>
          </cell>
          <cell r="M160">
            <v>71</v>
          </cell>
          <cell r="N160">
            <v>7.4</v>
          </cell>
          <cell r="O160">
            <v>16023.17</v>
          </cell>
          <cell r="P160">
            <v>82.2</v>
          </cell>
        </row>
        <row r="161">
          <cell r="A161">
            <v>69</v>
          </cell>
          <cell r="C161" t="str">
            <v>NEONATE BWT 1500-1999G W OR W/O OTHER SIGNIFICANT CONDITION                       </v>
          </cell>
          <cell r="D161">
            <v>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69</v>
          </cell>
          <cell r="J161">
            <v>27</v>
          </cell>
          <cell r="K161">
            <v>42</v>
          </cell>
          <cell r="L161">
            <v>0</v>
          </cell>
          <cell r="M161">
            <v>69</v>
          </cell>
          <cell r="N161">
            <v>12.9</v>
          </cell>
          <cell r="O161">
            <v>31479.79</v>
          </cell>
          <cell r="P161">
            <v>0</v>
          </cell>
        </row>
        <row r="162">
          <cell r="A162">
            <v>68.001</v>
          </cell>
          <cell r="C162" t="str">
            <v>SKIN ULCERS                                                                       </v>
          </cell>
          <cell r="D162">
            <v>0</v>
          </cell>
          <cell r="E162">
            <v>9</v>
          </cell>
          <cell r="F162">
            <v>32</v>
          </cell>
          <cell r="G162">
            <v>27</v>
          </cell>
          <cell r="H162">
            <v>0</v>
          </cell>
          <cell r="I162">
            <v>68</v>
          </cell>
          <cell r="J162">
            <v>37</v>
          </cell>
          <cell r="K162">
            <v>31</v>
          </cell>
          <cell r="L162">
            <v>0</v>
          </cell>
          <cell r="M162">
            <v>68</v>
          </cell>
          <cell r="N162">
            <v>6.1</v>
          </cell>
          <cell r="O162">
            <v>18588.79</v>
          </cell>
          <cell r="P162">
            <v>61.7</v>
          </cell>
        </row>
        <row r="163">
          <cell r="A163">
            <v>68.001</v>
          </cell>
          <cell r="C163" t="str">
            <v>CONNECTIVE TISSUE DISORDERS                                                       </v>
          </cell>
          <cell r="D163">
            <v>3</v>
          </cell>
          <cell r="E163">
            <v>24</v>
          </cell>
          <cell r="F163">
            <v>19</v>
          </cell>
          <cell r="G163">
            <v>22</v>
          </cell>
          <cell r="H163">
            <v>0</v>
          </cell>
          <cell r="I163">
            <v>68</v>
          </cell>
          <cell r="J163">
            <v>21</v>
          </cell>
          <cell r="K163">
            <v>47</v>
          </cell>
          <cell r="L163">
            <v>0</v>
          </cell>
          <cell r="M163">
            <v>68</v>
          </cell>
          <cell r="N163">
            <v>5.5</v>
          </cell>
          <cell r="O163">
            <v>24557.56</v>
          </cell>
          <cell r="P163">
            <v>51.3</v>
          </cell>
        </row>
        <row r="164">
          <cell r="A164">
            <v>68</v>
          </cell>
          <cell r="C164" t="str">
            <v>MUSCULOSKELETAL MALIGNANCY &amp; PATHOL FRACTURE D/T MUSCSKEL MALIG                   </v>
          </cell>
          <cell r="D164">
            <v>0</v>
          </cell>
          <cell r="E164">
            <v>8</v>
          </cell>
          <cell r="F164">
            <v>18</v>
          </cell>
          <cell r="G164">
            <v>42</v>
          </cell>
          <cell r="H164">
            <v>0</v>
          </cell>
          <cell r="I164">
            <v>68</v>
          </cell>
          <cell r="J164">
            <v>30</v>
          </cell>
          <cell r="K164">
            <v>38</v>
          </cell>
          <cell r="L164">
            <v>0</v>
          </cell>
          <cell r="M164">
            <v>68</v>
          </cell>
          <cell r="N164">
            <v>7.4</v>
          </cell>
          <cell r="O164">
            <v>23628.96</v>
          </cell>
          <cell r="P164">
            <v>65.8</v>
          </cell>
        </row>
        <row r="165">
          <cell r="A165">
            <v>67</v>
          </cell>
          <cell r="C165" t="str">
            <v>PERITONEAL ADHESIOLYSIS                                                           </v>
          </cell>
          <cell r="D165">
            <v>0</v>
          </cell>
          <cell r="E165">
            <v>21</v>
          </cell>
          <cell r="F165">
            <v>21</v>
          </cell>
          <cell r="G165">
            <v>25</v>
          </cell>
          <cell r="H165">
            <v>0</v>
          </cell>
          <cell r="I165">
            <v>67</v>
          </cell>
          <cell r="J165">
            <v>21</v>
          </cell>
          <cell r="K165">
            <v>46</v>
          </cell>
          <cell r="L165">
            <v>0</v>
          </cell>
          <cell r="M165">
            <v>67</v>
          </cell>
          <cell r="N165">
            <v>11</v>
          </cell>
          <cell r="O165">
            <v>38948.74</v>
          </cell>
          <cell r="P165">
            <v>56.4</v>
          </cell>
        </row>
        <row r="166">
          <cell r="A166">
            <v>66</v>
          </cell>
          <cell r="C166" t="str">
            <v>AMPUTATION OF LOWER LIMB EXCEPT TOES                                              </v>
          </cell>
          <cell r="D166">
            <v>0</v>
          </cell>
          <cell r="E166">
            <v>1</v>
          </cell>
          <cell r="F166">
            <v>31</v>
          </cell>
          <cell r="G166">
            <v>34</v>
          </cell>
          <cell r="H166">
            <v>0</v>
          </cell>
          <cell r="I166">
            <v>66</v>
          </cell>
          <cell r="J166">
            <v>45</v>
          </cell>
          <cell r="K166">
            <v>21</v>
          </cell>
          <cell r="L166">
            <v>0</v>
          </cell>
          <cell r="M166">
            <v>66</v>
          </cell>
          <cell r="N166">
            <v>16.2</v>
          </cell>
          <cell r="O166">
            <v>56982.61</v>
          </cell>
          <cell r="P166">
            <v>65.7</v>
          </cell>
        </row>
        <row r="167">
          <cell r="A167">
            <v>65</v>
          </cell>
          <cell r="C167" t="str">
            <v>OTHER DIGESTIVE SYSTEM &amp; ABDOMINAL PROCEDURES                                     </v>
          </cell>
          <cell r="D167">
            <v>2</v>
          </cell>
          <cell r="E167">
            <v>14</v>
          </cell>
          <cell r="F167">
            <v>22</v>
          </cell>
          <cell r="G167">
            <v>27</v>
          </cell>
          <cell r="H167">
            <v>0</v>
          </cell>
          <cell r="I167">
            <v>65</v>
          </cell>
          <cell r="J167">
            <v>21</v>
          </cell>
          <cell r="K167">
            <v>44</v>
          </cell>
          <cell r="L167">
            <v>0</v>
          </cell>
          <cell r="M167">
            <v>65</v>
          </cell>
          <cell r="N167">
            <v>8.9</v>
          </cell>
          <cell r="O167">
            <v>43279.59</v>
          </cell>
          <cell r="P167">
            <v>57.2</v>
          </cell>
        </row>
        <row r="168">
          <cell r="A168">
            <v>64</v>
          </cell>
          <cell r="C168" t="str">
            <v>NEONATE, TRANSFERRED &lt; 5 DAYS OLD, BORN HERE                                      </v>
          </cell>
          <cell r="D168">
            <v>64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64</v>
          </cell>
          <cell r="J168">
            <v>33</v>
          </cell>
          <cell r="K168">
            <v>31</v>
          </cell>
          <cell r="L168">
            <v>0</v>
          </cell>
          <cell r="M168">
            <v>64</v>
          </cell>
          <cell r="N168">
            <v>1.3</v>
          </cell>
          <cell r="O168">
            <v>6783.42</v>
          </cell>
          <cell r="P168">
            <v>0</v>
          </cell>
        </row>
        <row r="169">
          <cell r="A169">
            <v>63</v>
          </cell>
          <cell r="C169" t="str">
            <v>DENTAL &amp; ORAL DISEASES &amp; INJURIES                                                 </v>
          </cell>
          <cell r="D169">
            <v>5</v>
          </cell>
          <cell r="E169">
            <v>20</v>
          </cell>
          <cell r="F169">
            <v>22</v>
          </cell>
          <cell r="G169">
            <v>16</v>
          </cell>
          <cell r="H169">
            <v>0</v>
          </cell>
          <cell r="I169">
            <v>63</v>
          </cell>
          <cell r="J169">
            <v>37</v>
          </cell>
          <cell r="K169">
            <v>26</v>
          </cell>
          <cell r="L169">
            <v>0</v>
          </cell>
          <cell r="M169">
            <v>63</v>
          </cell>
          <cell r="N169">
            <v>3.3</v>
          </cell>
          <cell r="O169">
            <v>13456</v>
          </cell>
          <cell r="P169">
            <v>49.1</v>
          </cell>
        </row>
        <row r="170">
          <cell r="A170">
            <v>62.001</v>
          </cell>
          <cell r="C170" t="str">
            <v>HIV W MAJOR HIV RELATED CONDITION                                                 </v>
          </cell>
          <cell r="D170">
            <v>0</v>
          </cell>
          <cell r="E170">
            <v>22</v>
          </cell>
          <cell r="F170">
            <v>39</v>
          </cell>
          <cell r="G170">
            <v>1</v>
          </cell>
          <cell r="H170">
            <v>0</v>
          </cell>
          <cell r="I170">
            <v>62</v>
          </cell>
          <cell r="J170">
            <v>29</v>
          </cell>
          <cell r="K170">
            <v>33</v>
          </cell>
          <cell r="L170">
            <v>0</v>
          </cell>
          <cell r="M170">
            <v>62</v>
          </cell>
          <cell r="N170">
            <v>6.9</v>
          </cell>
          <cell r="O170">
            <v>21207.92</v>
          </cell>
          <cell r="P170">
            <v>46.7</v>
          </cell>
        </row>
        <row r="171">
          <cell r="A171">
            <v>62.001</v>
          </cell>
          <cell r="C171" t="str">
            <v>INTERSTITIAL LUNG DISEASE                                                         </v>
          </cell>
          <cell r="D171">
            <v>0</v>
          </cell>
          <cell r="E171">
            <v>8</v>
          </cell>
          <cell r="F171">
            <v>24</v>
          </cell>
          <cell r="G171">
            <v>30</v>
          </cell>
          <cell r="H171">
            <v>0</v>
          </cell>
          <cell r="I171">
            <v>62</v>
          </cell>
          <cell r="J171">
            <v>28</v>
          </cell>
          <cell r="K171">
            <v>34</v>
          </cell>
          <cell r="L171">
            <v>0</v>
          </cell>
          <cell r="M171">
            <v>62</v>
          </cell>
          <cell r="N171">
            <v>6.1</v>
          </cell>
          <cell r="O171">
            <v>23212.84</v>
          </cell>
          <cell r="P171">
            <v>63.6</v>
          </cell>
        </row>
        <row r="172">
          <cell r="A172">
            <v>62</v>
          </cell>
          <cell r="C172" t="str">
            <v>OTHER EAR, NOSE, MOUTH &amp; THROAT PROCEDURES                                        </v>
          </cell>
          <cell r="D172">
            <v>1</v>
          </cell>
          <cell r="E172">
            <v>13</v>
          </cell>
          <cell r="F172">
            <v>25</v>
          </cell>
          <cell r="G172">
            <v>23</v>
          </cell>
          <cell r="H172">
            <v>0</v>
          </cell>
          <cell r="I172">
            <v>62</v>
          </cell>
          <cell r="J172">
            <v>38</v>
          </cell>
          <cell r="K172">
            <v>24</v>
          </cell>
          <cell r="L172">
            <v>0</v>
          </cell>
          <cell r="M172">
            <v>62</v>
          </cell>
          <cell r="N172">
            <v>5.2</v>
          </cell>
          <cell r="O172">
            <v>28109.65</v>
          </cell>
          <cell r="P172">
            <v>54.7</v>
          </cell>
        </row>
        <row r="173">
          <cell r="A173">
            <v>61</v>
          </cell>
          <cell r="C173" t="str">
            <v>LYMPHOMA, MYELOMA &amp; NON-ACUTE LEUKEMIA                                            </v>
          </cell>
          <cell r="D173">
            <v>0</v>
          </cell>
          <cell r="E173">
            <v>9</v>
          </cell>
          <cell r="F173">
            <v>16</v>
          </cell>
          <cell r="G173">
            <v>36</v>
          </cell>
          <cell r="H173">
            <v>0</v>
          </cell>
          <cell r="I173">
            <v>61</v>
          </cell>
          <cell r="J173">
            <v>30</v>
          </cell>
          <cell r="K173">
            <v>31</v>
          </cell>
          <cell r="L173">
            <v>0</v>
          </cell>
          <cell r="M173">
            <v>61</v>
          </cell>
          <cell r="N173">
            <v>10.2</v>
          </cell>
          <cell r="O173">
            <v>44358.46</v>
          </cell>
          <cell r="P173">
            <v>63.7</v>
          </cell>
        </row>
        <row r="174">
          <cell r="A174">
            <v>60.001</v>
          </cell>
          <cell r="C174" t="str">
            <v>MALFUNCTION, REACTION, COMPLIC OF ORTHOPEDIC DEVICE OR PROCEDURE                  </v>
          </cell>
          <cell r="D174">
            <v>0</v>
          </cell>
          <cell r="E174">
            <v>8</v>
          </cell>
          <cell r="F174">
            <v>25</v>
          </cell>
          <cell r="G174">
            <v>27</v>
          </cell>
          <cell r="H174">
            <v>0</v>
          </cell>
          <cell r="I174">
            <v>60</v>
          </cell>
          <cell r="J174">
            <v>31</v>
          </cell>
          <cell r="K174">
            <v>29</v>
          </cell>
          <cell r="L174">
            <v>0</v>
          </cell>
          <cell r="M174">
            <v>60</v>
          </cell>
          <cell r="N174">
            <v>4.3</v>
          </cell>
          <cell r="O174">
            <v>13267.35</v>
          </cell>
          <cell r="P174">
            <v>64.2</v>
          </cell>
        </row>
        <row r="175">
          <cell r="A175">
            <v>60</v>
          </cell>
          <cell r="C175" t="str">
            <v>MALFUNCTION,REACTION,COMPLICATION OF CARDIAC/VASC DEVICE OR PROCEDURE             </v>
          </cell>
          <cell r="D175">
            <v>0</v>
          </cell>
          <cell r="E175">
            <v>11</v>
          </cell>
          <cell r="F175">
            <v>27</v>
          </cell>
          <cell r="G175">
            <v>22</v>
          </cell>
          <cell r="H175">
            <v>0</v>
          </cell>
          <cell r="I175">
            <v>60</v>
          </cell>
          <cell r="J175">
            <v>32</v>
          </cell>
          <cell r="K175">
            <v>28</v>
          </cell>
          <cell r="L175">
            <v>0</v>
          </cell>
          <cell r="M175">
            <v>60</v>
          </cell>
          <cell r="N175">
            <v>4.1</v>
          </cell>
          <cell r="O175">
            <v>18376.8</v>
          </cell>
          <cell r="P175">
            <v>59.5</v>
          </cell>
        </row>
        <row r="176">
          <cell r="A176">
            <v>59.001</v>
          </cell>
          <cell r="C176" t="str">
            <v>EXTENSIVE ABDOMINAL/THORACIC PROCEDURES FOR MULT SIGNIFICANT TRAUMA               </v>
          </cell>
          <cell r="D176">
            <v>3</v>
          </cell>
          <cell r="E176">
            <v>41</v>
          </cell>
          <cell r="F176">
            <v>7</v>
          </cell>
          <cell r="G176">
            <v>8</v>
          </cell>
          <cell r="H176">
            <v>0</v>
          </cell>
          <cell r="I176">
            <v>59</v>
          </cell>
          <cell r="J176">
            <v>47</v>
          </cell>
          <cell r="K176">
            <v>12</v>
          </cell>
          <cell r="L176">
            <v>0</v>
          </cell>
          <cell r="M176">
            <v>59</v>
          </cell>
          <cell r="N176">
            <v>19.4</v>
          </cell>
          <cell r="O176">
            <v>147023.91</v>
          </cell>
          <cell r="P176">
            <v>38.3</v>
          </cell>
        </row>
        <row r="177">
          <cell r="A177">
            <v>59.001</v>
          </cell>
          <cell r="C177" t="str">
            <v>NEONATE BWT 1500-1999G W RESP DIST SYND/OTH MAJ RESP COND                         </v>
          </cell>
          <cell r="D177">
            <v>59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59</v>
          </cell>
          <cell r="J177">
            <v>30</v>
          </cell>
          <cell r="K177">
            <v>29</v>
          </cell>
          <cell r="L177">
            <v>0</v>
          </cell>
          <cell r="M177">
            <v>59</v>
          </cell>
          <cell r="N177">
            <v>24.5</v>
          </cell>
          <cell r="O177">
            <v>67565.29</v>
          </cell>
          <cell r="P177">
            <v>0</v>
          </cell>
        </row>
        <row r="178">
          <cell r="A178">
            <v>59.001</v>
          </cell>
          <cell r="C178" t="str">
            <v>BREAST PROCEDURES EXCEPT MASTECTOMY                                               </v>
          </cell>
          <cell r="D178">
            <v>0</v>
          </cell>
          <cell r="E178">
            <v>37</v>
          </cell>
          <cell r="F178">
            <v>18</v>
          </cell>
          <cell r="G178">
            <v>4</v>
          </cell>
          <cell r="H178">
            <v>0</v>
          </cell>
          <cell r="I178">
            <v>59</v>
          </cell>
          <cell r="J178">
            <v>1</v>
          </cell>
          <cell r="K178">
            <v>58</v>
          </cell>
          <cell r="L178">
            <v>0</v>
          </cell>
          <cell r="M178">
            <v>59</v>
          </cell>
          <cell r="N178">
            <v>1.4</v>
          </cell>
          <cell r="O178">
            <v>13385.38</v>
          </cell>
          <cell r="P178">
            <v>43.2</v>
          </cell>
        </row>
        <row r="179">
          <cell r="A179">
            <v>59.001</v>
          </cell>
          <cell r="C179" t="str">
            <v>MASTECTOMY PROCEDURES                                                             </v>
          </cell>
          <cell r="D179">
            <v>0</v>
          </cell>
          <cell r="E179">
            <v>9</v>
          </cell>
          <cell r="F179">
            <v>30</v>
          </cell>
          <cell r="G179">
            <v>20</v>
          </cell>
          <cell r="H179">
            <v>0</v>
          </cell>
          <cell r="I179">
            <v>59</v>
          </cell>
          <cell r="J179">
            <v>2</v>
          </cell>
          <cell r="K179">
            <v>57</v>
          </cell>
          <cell r="L179">
            <v>0</v>
          </cell>
          <cell r="M179">
            <v>59</v>
          </cell>
          <cell r="N179">
            <v>2.2</v>
          </cell>
          <cell r="O179">
            <v>20652.05</v>
          </cell>
          <cell r="P179">
            <v>58</v>
          </cell>
        </row>
        <row r="180">
          <cell r="A180">
            <v>59.001</v>
          </cell>
          <cell r="C180" t="str">
            <v>EYE DISORDERS EXCEPT MAJOR INFECTIONS                                             </v>
          </cell>
          <cell r="D180">
            <v>2</v>
          </cell>
          <cell r="E180">
            <v>17</v>
          </cell>
          <cell r="F180">
            <v>22</v>
          </cell>
          <cell r="G180">
            <v>18</v>
          </cell>
          <cell r="H180">
            <v>0</v>
          </cell>
          <cell r="I180">
            <v>59</v>
          </cell>
          <cell r="J180">
            <v>32</v>
          </cell>
          <cell r="K180">
            <v>27</v>
          </cell>
          <cell r="L180">
            <v>0</v>
          </cell>
          <cell r="M180">
            <v>59</v>
          </cell>
          <cell r="N180">
            <v>2.5</v>
          </cell>
          <cell r="O180">
            <v>10782.85</v>
          </cell>
          <cell r="P180">
            <v>54.8</v>
          </cell>
        </row>
        <row r="181">
          <cell r="A181">
            <v>59</v>
          </cell>
          <cell r="C181" t="str">
            <v>VENTRICULAR SHUNT PROCEDURES                                                      </v>
          </cell>
          <cell r="D181">
            <v>0</v>
          </cell>
          <cell r="E181">
            <v>30</v>
          </cell>
          <cell r="F181">
            <v>12</v>
          </cell>
          <cell r="G181">
            <v>17</v>
          </cell>
          <cell r="H181">
            <v>0</v>
          </cell>
          <cell r="I181">
            <v>59</v>
          </cell>
          <cell r="J181">
            <v>21</v>
          </cell>
          <cell r="K181">
            <v>38</v>
          </cell>
          <cell r="L181">
            <v>0</v>
          </cell>
          <cell r="M181">
            <v>59</v>
          </cell>
          <cell r="N181">
            <v>6.1</v>
          </cell>
          <cell r="O181">
            <v>31956.87</v>
          </cell>
          <cell r="P181">
            <v>48.2</v>
          </cell>
        </row>
        <row r="182">
          <cell r="A182">
            <v>58</v>
          </cell>
          <cell r="C182" t="str">
            <v>UTERINE &amp; ADNEXA PROCEDURES FOR NON-OVARIAN &amp; NON-ADNEXAL MALIG                   </v>
          </cell>
          <cell r="D182">
            <v>0</v>
          </cell>
          <cell r="E182">
            <v>5</v>
          </cell>
          <cell r="F182">
            <v>29</v>
          </cell>
          <cell r="G182">
            <v>24</v>
          </cell>
          <cell r="H182">
            <v>0</v>
          </cell>
          <cell r="I182">
            <v>58</v>
          </cell>
          <cell r="J182">
            <v>0</v>
          </cell>
          <cell r="K182">
            <v>58</v>
          </cell>
          <cell r="L182">
            <v>0</v>
          </cell>
          <cell r="M182">
            <v>58</v>
          </cell>
          <cell r="N182">
            <v>3.4</v>
          </cell>
          <cell r="O182">
            <v>22340.25</v>
          </cell>
          <cell r="P182">
            <v>61.7</v>
          </cell>
        </row>
        <row r="183">
          <cell r="A183">
            <v>57.001</v>
          </cell>
          <cell r="C183" t="str">
            <v>MALE REPRODUCTIVE SYSTEM DIAGNOSES EXCEPT MALIGNANCY                              </v>
          </cell>
          <cell r="D183">
            <v>0</v>
          </cell>
          <cell r="E183">
            <v>13</v>
          </cell>
          <cell r="F183">
            <v>25</v>
          </cell>
          <cell r="G183">
            <v>19</v>
          </cell>
          <cell r="H183">
            <v>0</v>
          </cell>
          <cell r="I183">
            <v>57</v>
          </cell>
          <cell r="J183">
            <v>57</v>
          </cell>
          <cell r="K183">
            <v>0</v>
          </cell>
          <cell r="L183">
            <v>0</v>
          </cell>
          <cell r="M183">
            <v>57</v>
          </cell>
          <cell r="N183">
            <v>4.6</v>
          </cell>
          <cell r="O183">
            <v>13312.15</v>
          </cell>
          <cell r="P183">
            <v>57.9</v>
          </cell>
        </row>
        <row r="184">
          <cell r="A184">
            <v>57</v>
          </cell>
          <cell r="C184" t="str">
            <v>TRACHEOSTOMY W LONG TERM MECHANICAL VENTILATION W/O EXTENSIVE PROCEDURE           </v>
          </cell>
          <cell r="D184">
            <v>0</v>
          </cell>
          <cell r="E184">
            <v>7</v>
          </cell>
          <cell r="F184">
            <v>19</v>
          </cell>
          <cell r="G184">
            <v>31</v>
          </cell>
          <cell r="H184">
            <v>0</v>
          </cell>
          <cell r="I184">
            <v>57</v>
          </cell>
          <cell r="J184">
            <v>31</v>
          </cell>
          <cell r="K184">
            <v>26</v>
          </cell>
          <cell r="L184">
            <v>0</v>
          </cell>
          <cell r="M184">
            <v>57</v>
          </cell>
          <cell r="N184">
            <v>40.4</v>
          </cell>
          <cell r="O184">
            <v>192166.28</v>
          </cell>
          <cell r="P184">
            <v>64.5</v>
          </cell>
        </row>
        <row r="185">
          <cell r="A185">
            <v>56.001</v>
          </cell>
          <cell r="C185" t="str">
            <v>INGUINAL, FEMORAL &amp; UMBILICAL HERNIA PROCEDURES                                   </v>
          </cell>
          <cell r="D185">
            <v>0</v>
          </cell>
          <cell r="E185">
            <v>12</v>
          </cell>
          <cell r="F185">
            <v>21</v>
          </cell>
          <cell r="G185">
            <v>23</v>
          </cell>
          <cell r="H185">
            <v>0</v>
          </cell>
          <cell r="I185">
            <v>56</v>
          </cell>
          <cell r="J185">
            <v>36</v>
          </cell>
          <cell r="K185">
            <v>20</v>
          </cell>
          <cell r="L185">
            <v>0</v>
          </cell>
          <cell r="M185">
            <v>56</v>
          </cell>
          <cell r="N185">
            <v>2.5</v>
          </cell>
          <cell r="O185">
            <v>16223.32</v>
          </cell>
          <cell r="P185">
            <v>57.9</v>
          </cell>
        </row>
        <row r="186">
          <cell r="A186">
            <v>56</v>
          </cell>
          <cell r="C186" t="str">
            <v>CARDIAC PACEMAKER &amp; DEFIBRILLATOR REVISION EXCEPT DEVICE REPLACEMENT              </v>
          </cell>
          <cell r="D186">
            <v>0</v>
          </cell>
          <cell r="E186">
            <v>4</v>
          </cell>
          <cell r="F186">
            <v>13</v>
          </cell>
          <cell r="G186">
            <v>39</v>
          </cell>
          <cell r="H186">
            <v>0</v>
          </cell>
          <cell r="I186">
            <v>56</v>
          </cell>
          <cell r="J186">
            <v>34</v>
          </cell>
          <cell r="K186">
            <v>22</v>
          </cell>
          <cell r="L186">
            <v>0</v>
          </cell>
          <cell r="M186">
            <v>56</v>
          </cell>
          <cell r="N186">
            <v>6.2</v>
          </cell>
          <cell r="O186">
            <v>39111.26</v>
          </cell>
          <cell r="P186">
            <v>69.3</v>
          </cell>
        </row>
        <row r="187">
          <cell r="A187">
            <v>54.001</v>
          </cell>
          <cell r="C187" t="str">
            <v>VIRAL ILLNESS                                                                     </v>
          </cell>
          <cell r="D187">
            <v>4</v>
          </cell>
          <cell r="E187">
            <v>23</v>
          </cell>
          <cell r="F187">
            <v>11</v>
          </cell>
          <cell r="G187">
            <v>16</v>
          </cell>
          <cell r="H187">
            <v>0</v>
          </cell>
          <cell r="I187">
            <v>54</v>
          </cell>
          <cell r="J187">
            <v>21</v>
          </cell>
          <cell r="K187">
            <v>33</v>
          </cell>
          <cell r="L187">
            <v>0</v>
          </cell>
          <cell r="M187">
            <v>54</v>
          </cell>
          <cell r="N187">
            <v>3</v>
          </cell>
          <cell r="O187">
            <v>10193.04</v>
          </cell>
          <cell r="P187">
            <v>46.3</v>
          </cell>
        </row>
        <row r="188">
          <cell r="A188">
            <v>54.001</v>
          </cell>
          <cell r="C188" t="str">
            <v>ANAL PROCEDURES                                                                   </v>
          </cell>
          <cell r="D188">
            <v>0</v>
          </cell>
          <cell r="E188">
            <v>20</v>
          </cell>
          <cell r="F188">
            <v>17</v>
          </cell>
          <cell r="G188">
            <v>17</v>
          </cell>
          <cell r="H188">
            <v>0</v>
          </cell>
          <cell r="I188">
            <v>54</v>
          </cell>
          <cell r="J188">
            <v>33</v>
          </cell>
          <cell r="K188">
            <v>21</v>
          </cell>
          <cell r="L188">
            <v>0</v>
          </cell>
          <cell r="M188">
            <v>54</v>
          </cell>
          <cell r="N188">
            <v>4.2</v>
          </cell>
          <cell r="O188">
            <v>18098.24</v>
          </cell>
          <cell r="P188">
            <v>53.1</v>
          </cell>
        </row>
        <row r="189">
          <cell r="A189">
            <v>54</v>
          </cell>
          <cell r="C189" t="str">
            <v>MAJOR THORACIC &amp; ABDOMINAL VASCULAR PROCEDURES                                    </v>
          </cell>
          <cell r="D189">
            <v>0</v>
          </cell>
          <cell r="E189">
            <v>1</v>
          </cell>
          <cell r="F189">
            <v>28</v>
          </cell>
          <cell r="G189">
            <v>25</v>
          </cell>
          <cell r="H189">
            <v>0</v>
          </cell>
          <cell r="I189">
            <v>54</v>
          </cell>
          <cell r="J189">
            <v>36</v>
          </cell>
          <cell r="K189">
            <v>18</v>
          </cell>
          <cell r="L189">
            <v>0</v>
          </cell>
          <cell r="M189">
            <v>54</v>
          </cell>
          <cell r="N189">
            <v>10.8</v>
          </cell>
          <cell r="O189">
            <v>91642.27</v>
          </cell>
          <cell r="P189">
            <v>64</v>
          </cell>
        </row>
        <row r="190">
          <cell r="A190">
            <v>53.001</v>
          </cell>
          <cell r="C190" t="str">
            <v>OTHER O.R. PROCEDURES FOR LYMPHATIC/HEMATOPOIETIC/OTHER NEOPLASMS                 </v>
          </cell>
          <cell r="D190">
            <v>0</v>
          </cell>
          <cell r="E190">
            <v>8</v>
          </cell>
          <cell r="F190">
            <v>28</v>
          </cell>
          <cell r="G190">
            <v>17</v>
          </cell>
          <cell r="H190">
            <v>0</v>
          </cell>
          <cell r="I190">
            <v>53</v>
          </cell>
          <cell r="J190">
            <v>32</v>
          </cell>
          <cell r="K190">
            <v>21</v>
          </cell>
          <cell r="L190">
            <v>0</v>
          </cell>
          <cell r="M190">
            <v>53</v>
          </cell>
          <cell r="N190">
            <v>6.9</v>
          </cell>
          <cell r="O190">
            <v>41412.9</v>
          </cell>
          <cell r="P190">
            <v>57.5</v>
          </cell>
        </row>
        <row r="191">
          <cell r="A191">
            <v>53</v>
          </cell>
          <cell r="C191" t="str">
            <v>OTHER NERVOUS SYSTEM &amp; RELATED PROCEDURES                                         </v>
          </cell>
          <cell r="D191">
            <v>1</v>
          </cell>
          <cell r="E191">
            <v>16</v>
          </cell>
          <cell r="F191">
            <v>21</v>
          </cell>
          <cell r="G191">
            <v>15</v>
          </cell>
          <cell r="H191">
            <v>0</v>
          </cell>
          <cell r="I191">
            <v>53</v>
          </cell>
          <cell r="J191">
            <v>27</v>
          </cell>
          <cell r="K191">
            <v>26</v>
          </cell>
          <cell r="L191">
            <v>0</v>
          </cell>
          <cell r="M191">
            <v>53</v>
          </cell>
          <cell r="N191">
            <v>10</v>
          </cell>
          <cell r="O191">
            <v>51886.54</v>
          </cell>
          <cell r="P191">
            <v>51.5</v>
          </cell>
        </row>
        <row r="192">
          <cell r="A192">
            <v>52.001</v>
          </cell>
          <cell r="C192" t="str">
            <v>THYROID, PARATHYROID &amp; THYROGLOSSAL PROCEDURES                                    </v>
          </cell>
          <cell r="D192">
            <v>0</v>
          </cell>
          <cell r="E192">
            <v>12</v>
          </cell>
          <cell r="F192">
            <v>21</v>
          </cell>
          <cell r="G192">
            <v>19</v>
          </cell>
          <cell r="H192">
            <v>0</v>
          </cell>
          <cell r="I192">
            <v>52</v>
          </cell>
          <cell r="J192">
            <v>15</v>
          </cell>
          <cell r="K192">
            <v>37</v>
          </cell>
          <cell r="L192">
            <v>0</v>
          </cell>
          <cell r="M192">
            <v>52</v>
          </cell>
          <cell r="N192">
            <v>1.8</v>
          </cell>
          <cell r="O192">
            <v>14006.89</v>
          </cell>
          <cell r="P192">
            <v>56.8</v>
          </cell>
        </row>
        <row r="193">
          <cell r="A193">
            <v>52</v>
          </cell>
          <cell r="C193" t="str">
            <v>MAJOR ESOPHAGEAL DISORDERS                                                        </v>
          </cell>
          <cell r="D193">
            <v>0</v>
          </cell>
          <cell r="E193">
            <v>6</v>
          </cell>
          <cell r="F193">
            <v>24</v>
          </cell>
          <cell r="G193">
            <v>22</v>
          </cell>
          <cell r="H193">
            <v>0</v>
          </cell>
          <cell r="I193">
            <v>52</v>
          </cell>
          <cell r="J193">
            <v>38</v>
          </cell>
          <cell r="K193">
            <v>14</v>
          </cell>
          <cell r="L193">
            <v>0</v>
          </cell>
          <cell r="M193">
            <v>52</v>
          </cell>
          <cell r="N193">
            <v>5.8</v>
          </cell>
          <cell r="O193">
            <v>23043.43</v>
          </cell>
          <cell r="P193">
            <v>62.9</v>
          </cell>
        </row>
        <row r="194">
          <cell r="A194">
            <v>50.001</v>
          </cell>
          <cell r="C194" t="str">
            <v>UNGROUPABLE                                                                       </v>
          </cell>
          <cell r="D194">
            <v>6</v>
          </cell>
          <cell r="E194">
            <v>18</v>
          </cell>
          <cell r="F194">
            <v>14</v>
          </cell>
          <cell r="G194">
            <v>12</v>
          </cell>
          <cell r="H194">
            <v>0</v>
          </cell>
          <cell r="I194">
            <v>50</v>
          </cell>
          <cell r="J194">
            <v>19</v>
          </cell>
          <cell r="K194">
            <v>31</v>
          </cell>
          <cell r="L194">
            <v>0</v>
          </cell>
          <cell r="M194">
            <v>50</v>
          </cell>
          <cell r="N194">
            <v>5.5</v>
          </cell>
          <cell r="O194">
            <v>16004.8</v>
          </cell>
          <cell r="P194">
            <v>45.2</v>
          </cell>
        </row>
        <row r="195">
          <cell r="A195">
            <v>50</v>
          </cell>
          <cell r="C195" t="str">
            <v>HIP &amp; FEMUR PROCEDURES FOR NON-TRAUMA EXCEPT JOINT REPLACEMENT                    </v>
          </cell>
          <cell r="D195">
            <v>0</v>
          </cell>
          <cell r="E195">
            <v>11</v>
          </cell>
          <cell r="F195">
            <v>18</v>
          </cell>
          <cell r="G195">
            <v>21</v>
          </cell>
          <cell r="H195">
            <v>0</v>
          </cell>
          <cell r="I195">
            <v>50</v>
          </cell>
          <cell r="J195">
            <v>18</v>
          </cell>
          <cell r="K195">
            <v>32</v>
          </cell>
          <cell r="L195">
            <v>0</v>
          </cell>
          <cell r="M195">
            <v>50</v>
          </cell>
          <cell r="N195">
            <v>8.2</v>
          </cell>
          <cell r="O195">
            <v>43340.94</v>
          </cell>
          <cell r="P195">
            <v>60.8</v>
          </cell>
        </row>
        <row r="196">
          <cell r="A196">
            <v>49</v>
          </cell>
          <cell r="C196" t="str">
            <v>MAJOR MALE PELVIC PROCEDURES                                                      </v>
          </cell>
          <cell r="D196">
            <v>0</v>
          </cell>
          <cell r="E196">
            <v>0</v>
          </cell>
          <cell r="F196">
            <v>39</v>
          </cell>
          <cell r="G196">
            <v>10</v>
          </cell>
          <cell r="H196">
            <v>0</v>
          </cell>
          <cell r="I196">
            <v>49</v>
          </cell>
          <cell r="J196">
            <v>49</v>
          </cell>
          <cell r="K196">
            <v>0</v>
          </cell>
          <cell r="L196">
            <v>0</v>
          </cell>
          <cell r="M196">
            <v>49</v>
          </cell>
          <cell r="N196">
            <v>2.3</v>
          </cell>
          <cell r="O196">
            <v>16162.47</v>
          </cell>
          <cell r="P196">
            <v>59</v>
          </cell>
        </row>
        <row r="197">
          <cell r="A197">
            <v>48.001</v>
          </cell>
          <cell r="C197" t="str">
            <v>ACUTE ANXIETY &amp; DELIRIUM STATES                                                   </v>
          </cell>
          <cell r="D197">
            <v>2</v>
          </cell>
          <cell r="E197">
            <v>18</v>
          </cell>
          <cell r="F197">
            <v>9</v>
          </cell>
          <cell r="G197">
            <v>19</v>
          </cell>
          <cell r="H197">
            <v>0</v>
          </cell>
          <cell r="I197">
            <v>48</v>
          </cell>
          <cell r="J197">
            <v>17</v>
          </cell>
          <cell r="K197">
            <v>31</v>
          </cell>
          <cell r="L197">
            <v>0</v>
          </cell>
          <cell r="M197">
            <v>48</v>
          </cell>
          <cell r="N197">
            <v>3.8</v>
          </cell>
          <cell r="O197">
            <v>11775.24</v>
          </cell>
          <cell r="P197">
            <v>54.4</v>
          </cell>
        </row>
        <row r="198">
          <cell r="A198">
            <v>48.001</v>
          </cell>
          <cell r="C198" t="str">
            <v>NEONATE BWT 2000-2499G W RESP DIST SYND/OTH MAJ RESP COND                         </v>
          </cell>
          <cell r="D198">
            <v>48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48</v>
          </cell>
          <cell r="J198">
            <v>31</v>
          </cell>
          <cell r="K198">
            <v>17</v>
          </cell>
          <cell r="L198">
            <v>0</v>
          </cell>
          <cell r="M198">
            <v>48</v>
          </cell>
          <cell r="N198">
            <v>15</v>
          </cell>
          <cell r="O198">
            <v>44565.02</v>
          </cell>
          <cell r="P198">
            <v>0</v>
          </cell>
        </row>
        <row r="199">
          <cell r="A199">
            <v>48</v>
          </cell>
          <cell r="C199" t="str">
            <v>ABORTION W/O D&amp;C, ASPIRATION CURETTAGE OR HYSTEROTOMY                             </v>
          </cell>
          <cell r="D199">
            <v>3</v>
          </cell>
          <cell r="E199">
            <v>45</v>
          </cell>
          <cell r="F199">
            <v>0</v>
          </cell>
          <cell r="G199">
            <v>0</v>
          </cell>
          <cell r="H199">
            <v>0</v>
          </cell>
          <cell r="I199">
            <v>48</v>
          </cell>
          <cell r="J199">
            <v>0</v>
          </cell>
          <cell r="K199">
            <v>48</v>
          </cell>
          <cell r="L199">
            <v>0</v>
          </cell>
          <cell r="M199">
            <v>48</v>
          </cell>
          <cell r="N199">
            <v>1.3</v>
          </cell>
          <cell r="O199">
            <v>3967.82</v>
          </cell>
          <cell r="P199">
            <v>26.9</v>
          </cell>
        </row>
        <row r="200">
          <cell r="A200">
            <v>47.001</v>
          </cell>
          <cell r="C200" t="str">
            <v>HIV W MULTIPLE MAJOR HIV RELATED CONDITIONS                                       </v>
          </cell>
          <cell r="D200">
            <v>0</v>
          </cell>
          <cell r="E200">
            <v>23</v>
          </cell>
          <cell r="F200">
            <v>24</v>
          </cell>
          <cell r="G200">
            <v>0</v>
          </cell>
          <cell r="H200">
            <v>0</v>
          </cell>
          <cell r="I200">
            <v>47</v>
          </cell>
          <cell r="J200">
            <v>27</v>
          </cell>
          <cell r="K200">
            <v>20</v>
          </cell>
          <cell r="L200">
            <v>0</v>
          </cell>
          <cell r="M200">
            <v>47</v>
          </cell>
          <cell r="N200">
            <v>16</v>
          </cell>
          <cell r="O200">
            <v>66843.55</v>
          </cell>
          <cell r="P200">
            <v>44.3</v>
          </cell>
        </row>
        <row r="201">
          <cell r="A201">
            <v>47</v>
          </cell>
          <cell r="C201" t="str">
            <v>MALNUTRITION, FAILURE TO THRIVE &amp; OTHER NUTRITIONAL DISORDERS                     </v>
          </cell>
          <cell r="D201">
            <v>5</v>
          </cell>
          <cell r="E201">
            <v>3</v>
          </cell>
          <cell r="F201">
            <v>15</v>
          </cell>
          <cell r="G201">
            <v>24</v>
          </cell>
          <cell r="H201">
            <v>0</v>
          </cell>
          <cell r="I201">
            <v>47</v>
          </cell>
          <cell r="J201">
            <v>17</v>
          </cell>
          <cell r="K201">
            <v>30</v>
          </cell>
          <cell r="L201">
            <v>0</v>
          </cell>
          <cell r="M201">
            <v>47</v>
          </cell>
          <cell r="N201">
            <v>6.4</v>
          </cell>
          <cell r="O201">
            <v>17824.11</v>
          </cell>
          <cell r="P201">
            <v>59.9</v>
          </cell>
        </row>
        <row r="202">
          <cell r="A202">
            <v>46</v>
          </cell>
          <cell r="C202" t="str">
            <v>ALLERGIC REACTIONS                                                                </v>
          </cell>
          <cell r="D202">
            <v>1</v>
          </cell>
          <cell r="E202">
            <v>7</v>
          </cell>
          <cell r="F202">
            <v>16</v>
          </cell>
          <cell r="G202">
            <v>22</v>
          </cell>
          <cell r="H202">
            <v>0</v>
          </cell>
          <cell r="I202">
            <v>46</v>
          </cell>
          <cell r="J202">
            <v>19</v>
          </cell>
          <cell r="K202">
            <v>27</v>
          </cell>
          <cell r="L202">
            <v>0</v>
          </cell>
          <cell r="M202">
            <v>46</v>
          </cell>
          <cell r="N202">
            <v>2.6</v>
          </cell>
          <cell r="O202">
            <v>11388.98</v>
          </cell>
          <cell r="P202">
            <v>59.7</v>
          </cell>
        </row>
        <row r="203">
          <cell r="A203">
            <v>45</v>
          </cell>
          <cell r="C203" t="str">
            <v>PELVIC EVISCERATION, RADICAL HYSTERECTOMY &amp; OTHER RADICAL GYN PROCS               </v>
          </cell>
          <cell r="D203">
            <v>0</v>
          </cell>
          <cell r="E203">
            <v>8</v>
          </cell>
          <cell r="F203">
            <v>19</v>
          </cell>
          <cell r="G203">
            <v>18</v>
          </cell>
          <cell r="H203">
            <v>0</v>
          </cell>
          <cell r="I203">
            <v>45</v>
          </cell>
          <cell r="J203">
            <v>0</v>
          </cell>
          <cell r="K203">
            <v>45</v>
          </cell>
          <cell r="L203">
            <v>0</v>
          </cell>
          <cell r="M203">
            <v>45</v>
          </cell>
          <cell r="N203">
            <v>4.1</v>
          </cell>
          <cell r="O203">
            <v>24971.34</v>
          </cell>
          <cell r="P203">
            <v>59.3</v>
          </cell>
        </row>
        <row r="204">
          <cell r="A204">
            <v>43.001</v>
          </cell>
          <cell r="C204" t="str">
            <v>OTHER DRUG ABUSE &amp; DEPENDENCE                                                     </v>
          </cell>
          <cell r="D204">
            <v>0</v>
          </cell>
          <cell r="E204">
            <v>8</v>
          </cell>
          <cell r="F204">
            <v>15</v>
          </cell>
          <cell r="G204">
            <v>20</v>
          </cell>
          <cell r="H204">
            <v>0</v>
          </cell>
          <cell r="I204">
            <v>43</v>
          </cell>
          <cell r="J204">
            <v>16</v>
          </cell>
          <cell r="K204">
            <v>27</v>
          </cell>
          <cell r="L204">
            <v>0</v>
          </cell>
          <cell r="M204">
            <v>43</v>
          </cell>
          <cell r="N204">
            <v>5.3</v>
          </cell>
          <cell r="O204">
            <v>14201.61</v>
          </cell>
          <cell r="P204">
            <v>61.6</v>
          </cell>
        </row>
        <row r="205">
          <cell r="A205">
            <v>43</v>
          </cell>
          <cell r="C205" t="str">
            <v>LYMPHATIC &amp; OTHER MALIGNANCIES &amp; NEOPLASMS OF UNCERTAIN BEHAVIOR                  </v>
          </cell>
          <cell r="D205">
            <v>0</v>
          </cell>
          <cell r="E205">
            <v>6</v>
          </cell>
          <cell r="F205">
            <v>14</v>
          </cell>
          <cell r="G205">
            <v>23</v>
          </cell>
          <cell r="H205">
            <v>0</v>
          </cell>
          <cell r="I205">
            <v>43</v>
          </cell>
          <cell r="J205">
            <v>19</v>
          </cell>
          <cell r="K205">
            <v>24</v>
          </cell>
          <cell r="L205">
            <v>0</v>
          </cell>
          <cell r="M205">
            <v>43</v>
          </cell>
          <cell r="N205">
            <v>5.1</v>
          </cell>
          <cell r="O205">
            <v>25116.55</v>
          </cell>
          <cell r="P205">
            <v>64.1</v>
          </cell>
        </row>
        <row r="206">
          <cell r="A206">
            <v>41.001</v>
          </cell>
          <cell r="C206" t="str">
            <v>FRACTURE OF FEMUR                                                                 </v>
          </cell>
          <cell r="D206">
            <v>0</v>
          </cell>
          <cell r="E206">
            <v>5</v>
          </cell>
          <cell r="F206">
            <v>4</v>
          </cell>
          <cell r="G206">
            <v>32</v>
          </cell>
          <cell r="H206">
            <v>0</v>
          </cell>
          <cell r="I206">
            <v>41</v>
          </cell>
          <cell r="J206">
            <v>14</v>
          </cell>
          <cell r="K206">
            <v>27</v>
          </cell>
          <cell r="L206">
            <v>0</v>
          </cell>
          <cell r="M206">
            <v>41</v>
          </cell>
          <cell r="N206">
            <v>4.7</v>
          </cell>
          <cell r="O206">
            <v>11958.41</v>
          </cell>
          <cell r="P206">
            <v>75.1</v>
          </cell>
        </row>
        <row r="207">
          <cell r="A207">
            <v>41</v>
          </cell>
          <cell r="C207" t="str">
            <v>NONSPECIFIC CVA &amp; PRECEREBRAL OCCLUSION W/O INFARCT                               </v>
          </cell>
          <cell r="D207">
            <v>0</v>
          </cell>
          <cell r="E207">
            <v>6</v>
          </cell>
          <cell r="F207">
            <v>18</v>
          </cell>
          <cell r="G207">
            <v>17</v>
          </cell>
          <cell r="H207">
            <v>0</v>
          </cell>
          <cell r="I207">
            <v>41</v>
          </cell>
          <cell r="J207">
            <v>21</v>
          </cell>
          <cell r="K207">
            <v>20</v>
          </cell>
          <cell r="L207">
            <v>0</v>
          </cell>
          <cell r="M207">
            <v>41</v>
          </cell>
          <cell r="N207">
            <v>4.3</v>
          </cell>
          <cell r="O207">
            <v>21200.82</v>
          </cell>
          <cell r="P207">
            <v>61</v>
          </cell>
        </row>
        <row r="208">
          <cell r="A208">
            <v>40</v>
          </cell>
          <cell r="C208" t="str">
            <v>ACUTE LEUKEMIA                                                                    </v>
          </cell>
          <cell r="D208">
            <v>0</v>
          </cell>
          <cell r="E208">
            <v>7</v>
          </cell>
          <cell r="F208">
            <v>16</v>
          </cell>
          <cell r="G208">
            <v>17</v>
          </cell>
          <cell r="H208">
            <v>0</v>
          </cell>
          <cell r="I208">
            <v>40</v>
          </cell>
          <cell r="J208">
            <v>22</v>
          </cell>
          <cell r="K208">
            <v>18</v>
          </cell>
          <cell r="L208">
            <v>0</v>
          </cell>
          <cell r="M208">
            <v>40</v>
          </cell>
          <cell r="N208">
            <v>18.7</v>
          </cell>
          <cell r="O208">
            <v>94054.74</v>
          </cell>
          <cell r="P208">
            <v>61.3</v>
          </cell>
        </row>
        <row r="209">
          <cell r="A209">
            <v>39</v>
          </cell>
          <cell r="C209" t="str">
            <v>VIRAL MENINGITIS                                                                  </v>
          </cell>
          <cell r="D209">
            <v>2</v>
          </cell>
          <cell r="E209">
            <v>24</v>
          </cell>
          <cell r="F209">
            <v>10</v>
          </cell>
          <cell r="G209">
            <v>3</v>
          </cell>
          <cell r="H209">
            <v>0</v>
          </cell>
          <cell r="I209">
            <v>39</v>
          </cell>
          <cell r="J209">
            <v>24</v>
          </cell>
          <cell r="K209">
            <v>15</v>
          </cell>
          <cell r="L209">
            <v>0</v>
          </cell>
          <cell r="M209">
            <v>39</v>
          </cell>
          <cell r="N209">
            <v>3.4</v>
          </cell>
          <cell r="O209">
            <v>14282.82</v>
          </cell>
          <cell r="P209">
            <v>37.5</v>
          </cell>
        </row>
        <row r="210">
          <cell r="A210">
            <v>37.001</v>
          </cell>
          <cell r="C210" t="str">
            <v>OTHER KIDNEY, URINARY TRACT &amp; RELATED PROCEDURES                                  </v>
          </cell>
          <cell r="D210">
            <v>0</v>
          </cell>
          <cell r="E210">
            <v>6</v>
          </cell>
          <cell r="F210">
            <v>16</v>
          </cell>
          <cell r="G210">
            <v>15</v>
          </cell>
          <cell r="H210">
            <v>0</v>
          </cell>
          <cell r="I210">
            <v>37</v>
          </cell>
          <cell r="J210">
            <v>12</v>
          </cell>
          <cell r="K210">
            <v>25</v>
          </cell>
          <cell r="L210">
            <v>0</v>
          </cell>
          <cell r="M210">
            <v>37</v>
          </cell>
          <cell r="N210">
            <v>6.1</v>
          </cell>
          <cell r="O210">
            <v>33805.34</v>
          </cell>
          <cell r="P210">
            <v>60</v>
          </cell>
        </row>
        <row r="211">
          <cell r="A211">
            <v>37</v>
          </cell>
          <cell r="C211" t="str">
            <v>HAND &amp; WRIST PROCEDURES                                                           </v>
          </cell>
          <cell r="D211">
            <v>2</v>
          </cell>
          <cell r="E211">
            <v>18</v>
          </cell>
          <cell r="F211">
            <v>9</v>
          </cell>
          <cell r="G211">
            <v>8</v>
          </cell>
          <cell r="H211">
            <v>0</v>
          </cell>
          <cell r="I211">
            <v>37</v>
          </cell>
          <cell r="J211">
            <v>25</v>
          </cell>
          <cell r="K211">
            <v>12</v>
          </cell>
          <cell r="L211">
            <v>0</v>
          </cell>
          <cell r="M211">
            <v>37</v>
          </cell>
          <cell r="N211">
            <v>3</v>
          </cell>
          <cell r="O211">
            <v>17320.31</v>
          </cell>
          <cell r="P211">
            <v>43</v>
          </cell>
        </row>
        <row r="212">
          <cell r="A212">
            <v>36.001</v>
          </cell>
          <cell r="C212" t="str">
            <v>HIV W ONE SIGNIF HIV COND OR W/O SIGNIF RELATED COND                              </v>
          </cell>
          <cell r="D212">
            <v>0</v>
          </cell>
          <cell r="E212">
            <v>17</v>
          </cell>
          <cell r="F212">
            <v>19</v>
          </cell>
          <cell r="G212">
            <v>0</v>
          </cell>
          <cell r="H212">
            <v>0</v>
          </cell>
          <cell r="I212">
            <v>36</v>
          </cell>
          <cell r="J212">
            <v>18</v>
          </cell>
          <cell r="K212">
            <v>18</v>
          </cell>
          <cell r="L212">
            <v>0</v>
          </cell>
          <cell r="M212">
            <v>36</v>
          </cell>
          <cell r="N212">
            <v>3.2</v>
          </cell>
          <cell r="O212">
            <v>11300.58</v>
          </cell>
          <cell r="P212">
            <v>45.6</v>
          </cell>
        </row>
        <row r="213">
          <cell r="A213">
            <v>36.001</v>
          </cell>
          <cell r="C213" t="str">
            <v>COAGULATION &amp; PLATELET DISORDERS                                                  </v>
          </cell>
          <cell r="D213">
            <v>0</v>
          </cell>
          <cell r="E213">
            <v>12</v>
          </cell>
          <cell r="F213">
            <v>8</v>
          </cell>
          <cell r="G213">
            <v>16</v>
          </cell>
          <cell r="H213">
            <v>0</v>
          </cell>
          <cell r="I213">
            <v>36</v>
          </cell>
          <cell r="J213">
            <v>16</v>
          </cell>
          <cell r="K213">
            <v>20</v>
          </cell>
          <cell r="L213">
            <v>0</v>
          </cell>
          <cell r="M213">
            <v>36</v>
          </cell>
          <cell r="N213">
            <v>6.2</v>
          </cell>
          <cell r="O213">
            <v>38056.17</v>
          </cell>
          <cell r="P213">
            <v>57.7</v>
          </cell>
        </row>
        <row r="214">
          <cell r="A214">
            <v>36.001</v>
          </cell>
          <cell r="C214" t="str">
            <v>NEONATE BWT 1000-1249G W RESP DIST SYND/OTH MAJ RESP OR MAJ ANOM                  </v>
          </cell>
          <cell r="D214">
            <v>36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36</v>
          </cell>
          <cell r="J214">
            <v>21</v>
          </cell>
          <cell r="K214">
            <v>15</v>
          </cell>
          <cell r="L214">
            <v>0</v>
          </cell>
          <cell r="M214">
            <v>36</v>
          </cell>
          <cell r="N214">
            <v>42.1</v>
          </cell>
          <cell r="O214">
            <v>141799.28</v>
          </cell>
          <cell r="P214">
            <v>0</v>
          </cell>
        </row>
        <row r="215">
          <cell r="A215">
            <v>36.001</v>
          </cell>
          <cell r="C215" t="str">
            <v>NEONATE BIRTHWT 750-999G W/O MAJOR PROCEDURE                                      </v>
          </cell>
          <cell r="D215">
            <v>36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36</v>
          </cell>
          <cell r="J215">
            <v>22</v>
          </cell>
          <cell r="K215">
            <v>14</v>
          </cell>
          <cell r="L215">
            <v>0</v>
          </cell>
          <cell r="M215">
            <v>36</v>
          </cell>
          <cell r="N215">
            <v>45.4</v>
          </cell>
          <cell r="O215">
            <v>157323.63</v>
          </cell>
          <cell r="P215">
            <v>0</v>
          </cell>
        </row>
        <row r="216">
          <cell r="A216">
            <v>36</v>
          </cell>
          <cell r="C216" t="str">
            <v>RENAL DIALYSIS ACCESS DEVICE PROCEDURE ONLY                                       </v>
          </cell>
          <cell r="D216">
            <v>0</v>
          </cell>
          <cell r="E216">
            <v>7</v>
          </cell>
          <cell r="F216">
            <v>13</v>
          </cell>
          <cell r="G216">
            <v>16</v>
          </cell>
          <cell r="H216">
            <v>0</v>
          </cell>
          <cell r="I216">
            <v>36</v>
          </cell>
          <cell r="J216">
            <v>26</v>
          </cell>
          <cell r="K216">
            <v>10</v>
          </cell>
          <cell r="L216">
            <v>0</v>
          </cell>
          <cell r="M216">
            <v>36</v>
          </cell>
          <cell r="N216">
            <v>7.6</v>
          </cell>
          <cell r="O216">
            <v>33196.76</v>
          </cell>
          <cell r="P216">
            <v>58.1</v>
          </cell>
        </row>
        <row r="217">
          <cell r="A217">
            <v>35</v>
          </cell>
          <cell r="C217" t="str">
            <v>FEMALE REPRODUCTIVE SYSTEM INFECTIONS                                             </v>
          </cell>
          <cell r="D217">
            <v>3</v>
          </cell>
          <cell r="E217">
            <v>16</v>
          </cell>
          <cell r="F217">
            <v>7</v>
          </cell>
          <cell r="G217">
            <v>9</v>
          </cell>
          <cell r="H217">
            <v>0</v>
          </cell>
          <cell r="I217">
            <v>35</v>
          </cell>
          <cell r="J217">
            <v>0</v>
          </cell>
          <cell r="K217">
            <v>35</v>
          </cell>
          <cell r="L217">
            <v>0</v>
          </cell>
          <cell r="M217">
            <v>35</v>
          </cell>
          <cell r="N217">
            <v>3.8</v>
          </cell>
          <cell r="O217">
            <v>11163.26</v>
          </cell>
          <cell r="P217">
            <v>47.3</v>
          </cell>
        </row>
        <row r="218">
          <cell r="A218">
            <v>34.001</v>
          </cell>
          <cell r="C218" t="str">
            <v>NEONATE BIRTHWT 500-749G W/O MAJOR PROCEDURE                                      </v>
          </cell>
          <cell r="D218">
            <v>34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34</v>
          </cell>
          <cell r="J218">
            <v>19</v>
          </cell>
          <cell r="K218">
            <v>15</v>
          </cell>
          <cell r="L218">
            <v>0</v>
          </cell>
          <cell r="M218">
            <v>34</v>
          </cell>
          <cell r="N218">
            <v>58.5</v>
          </cell>
          <cell r="O218">
            <v>237880.29</v>
          </cell>
          <cell r="P218">
            <v>0</v>
          </cell>
        </row>
        <row r="219">
          <cell r="A219">
            <v>34.001</v>
          </cell>
          <cell r="C219" t="str">
            <v>OTHER FEMALE REPRODUCTIVE SYSTEM &amp; RELATED PROCEDURES                             </v>
          </cell>
          <cell r="D219">
            <v>0</v>
          </cell>
          <cell r="E219">
            <v>16</v>
          </cell>
          <cell r="F219">
            <v>12</v>
          </cell>
          <cell r="G219">
            <v>6</v>
          </cell>
          <cell r="H219">
            <v>0</v>
          </cell>
          <cell r="I219">
            <v>34</v>
          </cell>
          <cell r="J219">
            <v>0</v>
          </cell>
          <cell r="K219">
            <v>34</v>
          </cell>
          <cell r="L219">
            <v>0</v>
          </cell>
          <cell r="M219">
            <v>34</v>
          </cell>
          <cell r="N219">
            <v>4.5</v>
          </cell>
          <cell r="O219">
            <v>21587.57</v>
          </cell>
          <cell r="P219">
            <v>47.9</v>
          </cell>
        </row>
        <row r="220">
          <cell r="A220">
            <v>34</v>
          </cell>
          <cell r="C220" t="str">
            <v>OTHER CIRCULATORY SYSTEM PROCEDURES                                               </v>
          </cell>
          <cell r="D220">
            <v>0</v>
          </cell>
          <cell r="E220">
            <v>5</v>
          </cell>
          <cell r="F220">
            <v>14</v>
          </cell>
          <cell r="G220">
            <v>15</v>
          </cell>
          <cell r="H220">
            <v>0</v>
          </cell>
          <cell r="I220">
            <v>34</v>
          </cell>
          <cell r="J220">
            <v>21</v>
          </cell>
          <cell r="K220">
            <v>13</v>
          </cell>
          <cell r="L220">
            <v>0</v>
          </cell>
          <cell r="M220">
            <v>34</v>
          </cell>
          <cell r="N220">
            <v>10.1</v>
          </cell>
          <cell r="O220">
            <v>45402.75</v>
          </cell>
          <cell r="P220">
            <v>61</v>
          </cell>
        </row>
        <row r="221">
          <cell r="A221">
            <v>32</v>
          </cell>
          <cell r="C221" t="str">
            <v>TRANSURETHRAL PROSTATECTOMY                                                       </v>
          </cell>
          <cell r="D221">
            <v>0</v>
          </cell>
          <cell r="E221">
            <v>0</v>
          </cell>
          <cell r="F221">
            <v>4</v>
          </cell>
          <cell r="G221">
            <v>28</v>
          </cell>
          <cell r="H221">
            <v>0</v>
          </cell>
          <cell r="I221">
            <v>32</v>
          </cell>
          <cell r="J221">
            <v>32</v>
          </cell>
          <cell r="K221">
            <v>0</v>
          </cell>
          <cell r="L221">
            <v>0</v>
          </cell>
          <cell r="M221">
            <v>32</v>
          </cell>
          <cell r="N221">
            <v>2.3</v>
          </cell>
          <cell r="O221">
            <v>11265.21</v>
          </cell>
          <cell r="P221">
            <v>75.2</v>
          </cell>
        </row>
        <row r="222">
          <cell r="A222">
            <v>31.001</v>
          </cell>
          <cell r="C222" t="str">
            <v>NEONATE BWT 2000-2499G W OTHER SIGNIFICANT CONDITION                              </v>
          </cell>
          <cell r="D222">
            <v>31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31</v>
          </cell>
          <cell r="J222">
            <v>22</v>
          </cell>
          <cell r="K222">
            <v>9</v>
          </cell>
          <cell r="L222">
            <v>0</v>
          </cell>
          <cell r="M222">
            <v>31</v>
          </cell>
          <cell r="N222">
            <v>10.9</v>
          </cell>
          <cell r="O222">
            <v>24893.71</v>
          </cell>
          <cell r="P222">
            <v>0</v>
          </cell>
        </row>
        <row r="223">
          <cell r="A223">
            <v>31</v>
          </cell>
          <cell r="C223" t="str">
            <v>FEMALE REPRODUCTIVE SYSTEM MALIGNANCY                                             </v>
          </cell>
          <cell r="D223">
            <v>0</v>
          </cell>
          <cell r="E223">
            <v>7</v>
          </cell>
          <cell r="F223">
            <v>11</v>
          </cell>
          <cell r="G223">
            <v>13</v>
          </cell>
          <cell r="H223">
            <v>0</v>
          </cell>
          <cell r="I223">
            <v>31</v>
          </cell>
          <cell r="J223">
            <v>0</v>
          </cell>
          <cell r="K223">
            <v>31</v>
          </cell>
          <cell r="L223">
            <v>0</v>
          </cell>
          <cell r="M223">
            <v>31</v>
          </cell>
          <cell r="N223">
            <v>6.3</v>
          </cell>
          <cell r="O223">
            <v>24453.11</v>
          </cell>
          <cell r="P223">
            <v>61.9</v>
          </cell>
        </row>
        <row r="224">
          <cell r="A224">
            <v>30.001</v>
          </cell>
          <cell r="C224" t="str">
            <v>NEONATE BWT 1250-1499G W RESP DIST SYND/OTH MAJ RESP OR MAJ ANOM                  </v>
          </cell>
          <cell r="D224">
            <v>30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30</v>
          </cell>
          <cell r="J224">
            <v>15</v>
          </cell>
          <cell r="K224">
            <v>15</v>
          </cell>
          <cell r="L224">
            <v>0</v>
          </cell>
          <cell r="M224">
            <v>30</v>
          </cell>
          <cell r="N224">
            <v>40.4</v>
          </cell>
          <cell r="O224">
            <v>111997.45</v>
          </cell>
          <cell r="P224">
            <v>0</v>
          </cell>
        </row>
        <row r="225">
          <cell r="A225">
            <v>30.001</v>
          </cell>
          <cell r="C225" t="str">
            <v>PITUITARY &amp; ADRENAL PROCEDURES                                                    </v>
          </cell>
          <cell r="D225">
            <v>0</v>
          </cell>
          <cell r="E225">
            <v>6</v>
          </cell>
          <cell r="F225">
            <v>13</v>
          </cell>
          <cell r="G225">
            <v>11</v>
          </cell>
          <cell r="H225">
            <v>0</v>
          </cell>
          <cell r="I225">
            <v>30</v>
          </cell>
          <cell r="J225">
            <v>16</v>
          </cell>
          <cell r="K225">
            <v>14</v>
          </cell>
          <cell r="L225">
            <v>0</v>
          </cell>
          <cell r="M225">
            <v>30</v>
          </cell>
          <cell r="N225">
            <v>6.6</v>
          </cell>
          <cell r="O225">
            <v>35095.92</v>
          </cell>
          <cell r="P225">
            <v>56.5</v>
          </cell>
        </row>
        <row r="226">
          <cell r="A226">
            <v>30.001</v>
          </cell>
          <cell r="C226" t="str">
            <v>OTHER HEPATOBILIARY, PANCREAS &amp; ABDOMINAL PROCEDURES                              </v>
          </cell>
          <cell r="D226">
            <v>0</v>
          </cell>
          <cell r="E226">
            <v>3</v>
          </cell>
          <cell r="F226">
            <v>14</v>
          </cell>
          <cell r="G226">
            <v>13</v>
          </cell>
          <cell r="H226">
            <v>0</v>
          </cell>
          <cell r="I226">
            <v>30</v>
          </cell>
          <cell r="J226">
            <v>19</v>
          </cell>
          <cell r="K226">
            <v>11</v>
          </cell>
          <cell r="L226">
            <v>0</v>
          </cell>
          <cell r="M226">
            <v>30</v>
          </cell>
          <cell r="N226">
            <v>9</v>
          </cell>
          <cell r="O226">
            <v>41293.78</v>
          </cell>
          <cell r="P226">
            <v>61.7</v>
          </cell>
        </row>
        <row r="227">
          <cell r="A227">
            <v>30</v>
          </cell>
          <cell r="C227" t="str">
            <v>CARDIAC STRUCTURAL &amp; VALVULAR DISORDERS                                           </v>
          </cell>
          <cell r="D227">
            <v>0</v>
          </cell>
          <cell r="E227">
            <v>2</v>
          </cell>
          <cell r="F227">
            <v>4</v>
          </cell>
          <cell r="G227">
            <v>24</v>
          </cell>
          <cell r="H227">
            <v>0</v>
          </cell>
          <cell r="I227">
            <v>30</v>
          </cell>
          <cell r="J227">
            <v>11</v>
          </cell>
          <cell r="K227">
            <v>19</v>
          </cell>
          <cell r="L227">
            <v>0</v>
          </cell>
          <cell r="M227">
            <v>30</v>
          </cell>
          <cell r="N227">
            <v>3.5</v>
          </cell>
          <cell r="O227">
            <v>12954.96</v>
          </cell>
          <cell r="P227">
            <v>76.4</v>
          </cell>
        </row>
        <row r="228">
          <cell r="A228">
            <v>29.001</v>
          </cell>
          <cell r="C228" t="str">
            <v>VAGINAL DELIVERY W COMPLICATING PROCEDURES EXC STERILIZATION &amp;/OR D&amp;C             </v>
          </cell>
          <cell r="D228">
            <v>2</v>
          </cell>
          <cell r="E228">
            <v>27</v>
          </cell>
          <cell r="F228">
            <v>0</v>
          </cell>
          <cell r="G228">
            <v>0</v>
          </cell>
          <cell r="H228">
            <v>0</v>
          </cell>
          <cell r="I228">
            <v>29</v>
          </cell>
          <cell r="J228">
            <v>0</v>
          </cell>
          <cell r="K228">
            <v>29</v>
          </cell>
          <cell r="L228">
            <v>0</v>
          </cell>
          <cell r="M228">
            <v>29</v>
          </cell>
          <cell r="N228">
            <v>2.2</v>
          </cell>
          <cell r="O228">
            <v>6139.31</v>
          </cell>
          <cell r="P228">
            <v>26.6</v>
          </cell>
        </row>
        <row r="229">
          <cell r="A229">
            <v>29.001</v>
          </cell>
          <cell r="C229" t="str">
            <v>SKIN GRAFT, EXCEPT HAND, FOR MUSCULOSKELETAL &amp; CONNECTIVE TISSUE DIAGNOSES        </v>
          </cell>
          <cell r="D229">
            <v>1</v>
          </cell>
          <cell r="E229">
            <v>10</v>
          </cell>
          <cell r="F229">
            <v>12</v>
          </cell>
          <cell r="G229">
            <v>6</v>
          </cell>
          <cell r="H229">
            <v>0</v>
          </cell>
          <cell r="I229">
            <v>29</v>
          </cell>
          <cell r="J229">
            <v>19</v>
          </cell>
          <cell r="K229">
            <v>10</v>
          </cell>
          <cell r="L229">
            <v>0</v>
          </cell>
          <cell r="M229">
            <v>29</v>
          </cell>
          <cell r="N229">
            <v>11.6</v>
          </cell>
          <cell r="O229">
            <v>43932.43</v>
          </cell>
          <cell r="P229">
            <v>51.2</v>
          </cell>
        </row>
        <row r="230">
          <cell r="A230">
            <v>29.001</v>
          </cell>
          <cell r="C230" t="str">
            <v>CARDIAC PACEMAKER &amp; DEFIBRILLATOR DEVICE REPLACEMENT                              </v>
          </cell>
          <cell r="D230">
            <v>0</v>
          </cell>
          <cell r="E230">
            <v>0</v>
          </cell>
          <cell r="F230">
            <v>5</v>
          </cell>
          <cell r="G230">
            <v>24</v>
          </cell>
          <cell r="H230">
            <v>0</v>
          </cell>
          <cell r="I230">
            <v>29</v>
          </cell>
          <cell r="J230">
            <v>15</v>
          </cell>
          <cell r="K230">
            <v>14</v>
          </cell>
          <cell r="L230">
            <v>0</v>
          </cell>
          <cell r="M230">
            <v>29</v>
          </cell>
          <cell r="N230">
            <v>5.5</v>
          </cell>
          <cell r="O230">
            <v>69251.07</v>
          </cell>
          <cell r="P230">
            <v>75.2</v>
          </cell>
        </row>
        <row r="231">
          <cell r="A231">
            <v>29</v>
          </cell>
          <cell r="C231" t="str">
            <v>FACIAL BONE PROCEDURES EXCEPT MAJOR CRANIAL/FACIAL BONE PROCEDURES                </v>
          </cell>
          <cell r="D231">
            <v>2</v>
          </cell>
          <cell r="E231">
            <v>17</v>
          </cell>
          <cell r="F231">
            <v>8</v>
          </cell>
          <cell r="G231">
            <v>2</v>
          </cell>
          <cell r="H231">
            <v>0</v>
          </cell>
          <cell r="I231">
            <v>29</v>
          </cell>
          <cell r="J231">
            <v>21</v>
          </cell>
          <cell r="K231">
            <v>8</v>
          </cell>
          <cell r="L231">
            <v>0</v>
          </cell>
          <cell r="M231">
            <v>29</v>
          </cell>
          <cell r="N231">
            <v>3.6</v>
          </cell>
          <cell r="O231">
            <v>24415.91</v>
          </cell>
          <cell r="P231">
            <v>38.3</v>
          </cell>
        </row>
        <row r="232">
          <cell r="A232">
            <v>28.001</v>
          </cell>
          <cell r="C232" t="str">
            <v>ECTOPIC PREGNANCY PROCEDURE                                                       </v>
          </cell>
          <cell r="D232">
            <v>1</v>
          </cell>
          <cell r="E232">
            <v>27</v>
          </cell>
          <cell r="F232">
            <v>0</v>
          </cell>
          <cell r="G232">
            <v>0</v>
          </cell>
          <cell r="H232">
            <v>0</v>
          </cell>
          <cell r="I232">
            <v>28</v>
          </cell>
          <cell r="J232">
            <v>0</v>
          </cell>
          <cell r="K232">
            <v>28</v>
          </cell>
          <cell r="L232">
            <v>0</v>
          </cell>
          <cell r="M232">
            <v>28</v>
          </cell>
          <cell r="N232">
            <v>2</v>
          </cell>
          <cell r="O232">
            <v>15324.82</v>
          </cell>
          <cell r="P232">
            <v>29.2</v>
          </cell>
        </row>
        <row r="233">
          <cell r="A233">
            <v>28</v>
          </cell>
          <cell r="C233" t="str">
            <v>MAJOR SKIN DISORDERS                                                              </v>
          </cell>
          <cell r="D233">
            <v>0</v>
          </cell>
          <cell r="E233">
            <v>4</v>
          </cell>
          <cell r="F233">
            <v>6</v>
          </cell>
          <cell r="G233">
            <v>18</v>
          </cell>
          <cell r="H233">
            <v>0</v>
          </cell>
          <cell r="I233">
            <v>28</v>
          </cell>
          <cell r="J233">
            <v>12</v>
          </cell>
          <cell r="K233">
            <v>16</v>
          </cell>
          <cell r="L233">
            <v>0</v>
          </cell>
          <cell r="M233">
            <v>28</v>
          </cell>
          <cell r="N233">
            <v>5.3</v>
          </cell>
          <cell r="O233">
            <v>15967.87</v>
          </cell>
          <cell r="P233">
            <v>68.6</v>
          </cell>
        </row>
        <row r="234">
          <cell r="A234">
            <v>27.001</v>
          </cell>
          <cell r="C234" t="str">
            <v>NEONATE BIRTHWT &gt;2499G W CONGENITAL/PERINATAL INFECTION                           </v>
          </cell>
          <cell r="D234">
            <v>27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27</v>
          </cell>
          <cell r="J234">
            <v>15</v>
          </cell>
          <cell r="K234">
            <v>12</v>
          </cell>
          <cell r="L234">
            <v>0</v>
          </cell>
          <cell r="M234">
            <v>27</v>
          </cell>
          <cell r="N234">
            <v>8</v>
          </cell>
          <cell r="O234">
            <v>18203.69</v>
          </cell>
          <cell r="P234">
            <v>0</v>
          </cell>
        </row>
        <row r="235">
          <cell r="A235">
            <v>27.001</v>
          </cell>
          <cell r="C235" t="str">
            <v>INBORN ERRORS OF METABOLISM                                                       </v>
          </cell>
          <cell r="D235">
            <v>1</v>
          </cell>
          <cell r="E235">
            <v>21</v>
          </cell>
          <cell r="F235">
            <v>4</v>
          </cell>
          <cell r="G235">
            <v>1</v>
          </cell>
          <cell r="H235">
            <v>0</v>
          </cell>
          <cell r="I235">
            <v>27</v>
          </cell>
          <cell r="J235">
            <v>4</v>
          </cell>
          <cell r="K235">
            <v>23</v>
          </cell>
          <cell r="L235">
            <v>0</v>
          </cell>
          <cell r="M235">
            <v>27</v>
          </cell>
          <cell r="N235">
            <v>5</v>
          </cell>
          <cell r="O235">
            <v>38721.96</v>
          </cell>
          <cell r="P235">
            <v>29.9</v>
          </cell>
        </row>
        <row r="236">
          <cell r="A236">
            <v>27.001</v>
          </cell>
          <cell r="C236" t="str">
            <v>CARDIAC ARREST                                                                    </v>
          </cell>
          <cell r="D236">
            <v>0</v>
          </cell>
          <cell r="E236">
            <v>5</v>
          </cell>
          <cell r="F236">
            <v>6</v>
          </cell>
          <cell r="G236">
            <v>16</v>
          </cell>
          <cell r="H236">
            <v>0</v>
          </cell>
          <cell r="I236">
            <v>27</v>
          </cell>
          <cell r="J236">
            <v>15</v>
          </cell>
          <cell r="K236">
            <v>12</v>
          </cell>
          <cell r="L236">
            <v>0</v>
          </cell>
          <cell r="M236">
            <v>27</v>
          </cell>
          <cell r="N236">
            <v>3.8</v>
          </cell>
          <cell r="O236">
            <v>26382.52</v>
          </cell>
          <cell r="P236">
            <v>63.9</v>
          </cell>
        </row>
        <row r="237">
          <cell r="A237">
            <v>27</v>
          </cell>
          <cell r="C237" t="str">
            <v>BONE MARROW TRANSPLANT                                                            </v>
          </cell>
          <cell r="D237">
            <v>0</v>
          </cell>
          <cell r="E237">
            <v>9</v>
          </cell>
          <cell r="F237">
            <v>18</v>
          </cell>
          <cell r="G237">
            <v>0</v>
          </cell>
          <cell r="H237">
            <v>0</v>
          </cell>
          <cell r="I237">
            <v>27</v>
          </cell>
          <cell r="J237">
            <v>13</v>
          </cell>
          <cell r="K237">
            <v>14</v>
          </cell>
          <cell r="L237">
            <v>0</v>
          </cell>
          <cell r="M237">
            <v>27</v>
          </cell>
          <cell r="N237">
            <v>18.6</v>
          </cell>
          <cell r="O237">
            <v>101137.67</v>
          </cell>
          <cell r="P237">
            <v>49</v>
          </cell>
        </row>
        <row r="238">
          <cell r="A238">
            <v>26</v>
          </cell>
          <cell r="C238" t="str">
            <v>OTHER MAJOR HEAD &amp; NECK PROCEDURES                                                </v>
          </cell>
          <cell r="D238">
            <v>0</v>
          </cell>
          <cell r="E238">
            <v>2</v>
          </cell>
          <cell r="F238">
            <v>11</v>
          </cell>
          <cell r="G238">
            <v>13</v>
          </cell>
          <cell r="H238">
            <v>0</v>
          </cell>
          <cell r="I238">
            <v>26</v>
          </cell>
          <cell r="J238">
            <v>17</v>
          </cell>
          <cell r="K238">
            <v>9</v>
          </cell>
          <cell r="L238">
            <v>0</v>
          </cell>
          <cell r="M238">
            <v>26</v>
          </cell>
          <cell r="N238">
            <v>11.9</v>
          </cell>
          <cell r="O238">
            <v>53289.02</v>
          </cell>
          <cell r="P238">
            <v>63.3</v>
          </cell>
        </row>
        <row r="239">
          <cell r="A239">
            <v>25.001</v>
          </cell>
          <cell r="C239" t="str">
            <v>UTERINE &amp; ADNEXA PROCEDURES FOR OVARIAN &amp; ADNEXAL MALIGNANCY                      </v>
          </cell>
          <cell r="D239">
            <v>0</v>
          </cell>
          <cell r="E239">
            <v>2</v>
          </cell>
          <cell r="F239">
            <v>13</v>
          </cell>
          <cell r="G239">
            <v>10</v>
          </cell>
          <cell r="H239">
            <v>0</v>
          </cell>
          <cell r="I239">
            <v>25</v>
          </cell>
          <cell r="J239">
            <v>0</v>
          </cell>
          <cell r="K239">
            <v>25</v>
          </cell>
          <cell r="L239">
            <v>0</v>
          </cell>
          <cell r="M239">
            <v>25</v>
          </cell>
          <cell r="N239">
            <v>8.8</v>
          </cell>
          <cell r="O239">
            <v>40932.59</v>
          </cell>
          <cell r="P239">
            <v>61.8</v>
          </cell>
        </row>
        <row r="240">
          <cell r="A240">
            <v>25.001</v>
          </cell>
          <cell r="C240" t="str">
            <v>OTHER STOMACH, ESOPHAGEAL &amp; DUODENAL PROCEDURES                                   </v>
          </cell>
          <cell r="D240">
            <v>0</v>
          </cell>
          <cell r="E240">
            <v>9</v>
          </cell>
          <cell r="F240">
            <v>10</v>
          </cell>
          <cell r="G240">
            <v>6</v>
          </cell>
          <cell r="H240">
            <v>0</v>
          </cell>
          <cell r="I240">
            <v>25</v>
          </cell>
          <cell r="J240">
            <v>5</v>
          </cell>
          <cell r="K240">
            <v>20</v>
          </cell>
          <cell r="L240">
            <v>0</v>
          </cell>
          <cell r="M240">
            <v>25</v>
          </cell>
          <cell r="N240">
            <v>6.8</v>
          </cell>
          <cell r="O240">
            <v>27690.5</v>
          </cell>
          <cell r="P240">
            <v>52.3</v>
          </cell>
        </row>
        <row r="241">
          <cell r="A241">
            <v>25</v>
          </cell>
          <cell r="C241" t="str">
            <v>BACTERIAL &amp; TUBERCULOUS INFECTIONS OF NERVOUS SYSTEM                              </v>
          </cell>
          <cell r="D241">
            <v>0</v>
          </cell>
          <cell r="E241">
            <v>9</v>
          </cell>
          <cell r="F241">
            <v>12</v>
          </cell>
          <cell r="G241">
            <v>4</v>
          </cell>
          <cell r="H241">
            <v>0</v>
          </cell>
          <cell r="I241">
            <v>25</v>
          </cell>
          <cell r="J241">
            <v>13</v>
          </cell>
          <cell r="K241">
            <v>12</v>
          </cell>
          <cell r="L241">
            <v>0</v>
          </cell>
          <cell r="M241">
            <v>25</v>
          </cell>
          <cell r="N241">
            <v>13.9</v>
          </cell>
          <cell r="O241">
            <v>65525.87</v>
          </cell>
          <cell r="P241">
            <v>49.6</v>
          </cell>
        </row>
        <row r="242">
          <cell r="A242">
            <v>24.001</v>
          </cell>
          <cell r="C242" t="str">
            <v>MAJOR O.R. PROCEDURES FOR LYMPHATIC/HEMATOPOIETIC/OTHER NEOPLASMS                 </v>
          </cell>
          <cell r="D242">
            <v>0</v>
          </cell>
          <cell r="E242">
            <v>2</v>
          </cell>
          <cell r="F242">
            <v>11</v>
          </cell>
          <cell r="G242">
            <v>11</v>
          </cell>
          <cell r="H242">
            <v>0</v>
          </cell>
          <cell r="I242">
            <v>24</v>
          </cell>
          <cell r="J242">
            <v>10</v>
          </cell>
          <cell r="K242">
            <v>14</v>
          </cell>
          <cell r="L242">
            <v>0</v>
          </cell>
          <cell r="M242">
            <v>24</v>
          </cell>
          <cell r="N242">
            <v>13.5</v>
          </cell>
          <cell r="O242">
            <v>77517.5</v>
          </cell>
          <cell r="P242">
            <v>61</v>
          </cell>
        </row>
        <row r="243">
          <cell r="A243">
            <v>24</v>
          </cell>
          <cell r="C243" t="str">
            <v>MAJOR BILIARY TRACT PROCEDURES                                                    </v>
          </cell>
          <cell r="D243">
            <v>0</v>
          </cell>
          <cell r="E243">
            <v>3</v>
          </cell>
          <cell r="F243">
            <v>7</v>
          </cell>
          <cell r="G243">
            <v>14</v>
          </cell>
          <cell r="H243">
            <v>0</v>
          </cell>
          <cell r="I243">
            <v>24</v>
          </cell>
          <cell r="J243">
            <v>10</v>
          </cell>
          <cell r="K243">
            <v>14</v>
          </cell>
          <cell r="L243">
            <v>0</v>
          </cell>
          <cell r="M243">
            <v>24</v>
          </cell>
          <cell r="N243">
            <v>7.8</v>
          </cell>
          <cell r="O243">
            <v>37259.82</v>
          </cell>
          <cell r="P243">
            <v>65</v>
          </cell>
        </row>
        <row r="244">
          <cell r="A244">
            <v>23.001</v>
          </cell>
          <cell r="C244" t="str">
            <v>BRONCHIOLITIS &amp; RSV PNEUMONIA                                                     </v>
          </cell>
          <cell r="D244">
            <v>23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23</v>
          </cell>
          <cell r="J244">
            <v>17</v>
          </cell>
          <cell r="K244">
            <v>6</v>
          </cell>
          <cell r="L244">
            <v>0</v>
          </cell>
          <cell r="M244">
            <v>23</v>
          </cell>
          <cell r="N244">
            <v>2.3</v>
          </cell>
          <cell r="O244">
            <v>4882.16</v>
          </cell>
          <cell r="P244">
            <v>0.3</v>
          </cell>
        </row>
        <row r="245">
          <cell r="A245">
            <v>23</v>
          </cell>
          <cell r="C245" t="str">
            <v>NON-BACTERIAL INFECTIONS OF NERVOUS SYSTEM EXC VIRAL MENINGITIS                   </v>
          </cell>
          <cell r="D245">
            <v>0</v>
          </cell>
          <cell r="E245">
            <v>7</v>
          </cell>
          <cell r="F245">
            <v>4</v>
          </cell>
          <cell r="G245">
            <v>12</v>
          </cell>
          <cell r="H245">
            <v>0</v>
          </cell>
          <cell r="I245">
            <v>23</v>
          </cell>
          <cell r="J245">
            <v>15</v>
          </cell>
          <cell r="K245">
            <v>8</v>
          </cell>
          <cell r="L245">
            <v>0</v>
          </cell>
          <cell r="M245">
            <v>23</v>
          </cell>
          <cell r="N245">
            <v>9.5</v>
          </cell>
          <cell r="O245">
            <v>37278.69</v>
          </cell>
          <cell r="P245">
            <v>59.4</v>
          </cell>
        </row>
        <row r="246">
          <cell r="A246">
            <v>22.001</v>
          </cell>
          <cell r="C246" t="str">
            <v>OTHER INJURY, POISONING &amp; TOXIC EFFECT DIAGNOSES                                  </v>
          </cell>
          <cell r="D246">
            <v>1</v>
          </cell>
          <cell r="E246">
            <v>3</v>
          </cell>
          <cell r="F246">
            <v>7</v>
          </cell>
          <cell r="G246">
            <v>11</v>
          </cell>
          <cell r="H246">
            <v>0</v>
          </cell>
          <cell r="I246">
            <v>22</v>
          </cell>
          <cell r="J246">
            <v>10</v>
          </cell>
          <cell r="K246">
            <v>12</v>
          </cell>
          <cell r="L246">
            <v>0</v>
          </cell>
          <cell r="M246">
            <v>22</v>
          </cell>
          <cell r="N246">
            <v>3</v>
          </cell>
          <cell r="O246">
            <v>11808.96</v>
          </cell>
          <cell r="P246">
            <v>60.5</v>
          </cell>
        </row>
        <row r="247">
          <cell r="A247">
            <v>22.001</v>
          </cell>
          <cell r="C247" t="str">
            <v>KIDNEY TRANSPLANT                                                                 </v>
          </cell>
          <cell r="D247">
            <v>0</v>
          </cell>
          <cell r="E247">
            <v>4</v>
          </cell>
          <cell r="F247">
            <v>12</v>
          </cell>
          <cell r="G247">
            <v>6</v>
          </cell>
          <cell r="H247">
            <v>0</v>
          </cell>
          <cell r="I247">
            <v>22</v>
          </cell>
          <cell r="J247">
            <v>15</v>
          </cell>
          <cell r="K247">
            <v>7</v>
          </cell>
          <cell r="L247">
            <v>0</v>
          </cell>
          <cell r="M247">
            <v>22</v>
          </cell>
          <cell r="N247">
            <v>5.6</v>
          </cell>
          <cell r="O247">
            <v>136850.18</v>
          </cell>
          <cell r="P247">
            <v>55.9</v>
          </cell>
        </row>
        <row r="248">
          <cell r="A248">
            <v>22.001</v>
          </cell>
          <cell r="C248" t="str">
            <v>MAJOR CRANIAL/FACIAL BONE PROCEDURES                                              </v>
          </cell>
          <cell r="D248">
            <v>1</v>
          </cell>
          <cell r="E248">
            <v>12</v>
          </cell>
          <cell r="F248">
            <v>6</v>
          </cell>
          <cell r="G248">
            <v>3</v>
          </cell>
          <cell r="H248">
            <v>0</v>
          </cell>
          <cell r="I248">
            <v>22</v>
          </cell>
          <cell r="J248">
            <v>10</v>
          </cell>
          <cell r="K248">
            <v>12</v>
          </cell>
          <cell r="L248">
            <v>0</v>
          </cell>
          <cell r="M248">
            <v>22</v>
          </cell>
          <cell r="N248">
            <v>6.9</v>
          </cell>
          <cell r="O248">
            <v>41903.52</v>
          </cell>
          <cell r="P248">
            <v>43.6</v>
          </cell>
        </row>
        <row r="249">
          <cell r="A249">
            <v>22</v>
          </cell>
          <cell r="C249" t="str">
            <v>SPINAL DISORDERS &amp; INJURIES                                                       </v>
          </cell>
          <cell r="D249">
            <v>1</v>
          </cell>
          <cell r="E249">
            <v>6</v>
          </cell>
          <cell r="F249">
            <v>11</v>
          </cell>
          <cell r="G249">
            <v>4</v>
          </cell>
          <cell r="H249">
            <v>0</v>
          </cell>
          <cell r="I249">
            <v>22</v>
          </cell>
          <cell r="J249">
            <v>15</v>
          </cell>
          <cell r="K249">
            <v>7</v>
          </cell>
          <cell r="L249">
            <v>0</v>
          </cell>
          <cell r="M249">
            <v>22</v>
          </cell>
          <cell r="N249">
            <v>3.5</v>
          </cell>
          <cell r="O249">
            <v>15361.29</v>
          </cell>
          <cell r="P249">
            <v>48</v>
          </cell>
        </row>
        <row r="250">
          <cell r="A250">
            <v>21.001</v>
          </cell>
          <cell r="C250" t="str">
            <v>OTHER CARDIOTHORACIC PROCEDURES                                                   </v>
          </cell>
          <cell r="D250">
            <v>0</v>
          </cell>
          <cell r="E250">
            <v>3</v>
          </cell>
          <cell r="F250">
            <v>7</v>
          </cell>
          <cell r="G250">
            <v>11</v>
          </cell>
          <cell r="H250">
            <v>0</v>
          </cell>
          <cell r="I250">
            <v>21</v>
          </cell>
          <cell r="J250">
            <v>9</v>
          </cell>
          <cell r="K250">
            <v>12</v>
          </cell>
          <cell r="L250">
            <v>0</v>
          </cell>
          <cell r="M250">
            <v>21</v>
          </cell>
          <cell r="N250">
            <v>8.4</v>
          </cell>
          <cell r="O250">
            <v>74467.39</v>
          </cell>
          <cell r="P250">
            <v>61</v>
          </cell>
        </row>
        <row r="251">
          <cell r="A251">
            <v>21</v>
          </cell>
          <cell r="C251" t="str">
            <v>TONSIL &amp; ADENOID PROCEDURES                                                       </v>
          </cell>
          <cell r="D251">
            <v>1</v>
          </cell>
          <cell r="E251">
            <v>14</v>
          </cell>
          <cell r="F251">
            <v>3</v>
          </cell>
          <cell r="G251">
            <v>3</v>
          </cell>
          <cell r="H251">
            <v>0</v>
          </cell>
          <cell r="I251">
            <v>21</v>
          </cell>
          <cell r="J251">
            <v>14</v>
          </cell>
          <cell r="K251">
            <v>7</v>
          </cell>
          <cell r="L251">
            <v>0</v>
          </cell>
          <cell r="M251">
            <v>21</v>
          </cell>
          <cell r="N251">
            <v>2.2</v>
          </cell>
          <cell r="O251">
            <v>9923.83</v>
          </cell>
          <cell r="P251">
            <v>35.6</v>
          </cell>
        </row>
        <row r="252">
          <cell r="A252">
            <v>20.001</v>
          </cell>
          <cell r="C252" t="str">
            <v>OPIOID ABUSE &amp; DEPENDENCE                                                         </v>
          </cell>
          <cell r="D252">
            <v>0</v>
          </cell>
          <cell r="E252">
            <v>9</v>
          </cell>
          <cell r="F252">
            <v>11</v>
          </cell>
          <cell r="G252">
            <v>0</v>
          </cell>
          <cell r="H252">
            <v>0</v>
          </cell>
          <cell r="I252">
            <v>20</v>
          </cell>
          <cell r="J252">
            <v>10</v>
          </cell>
          <cell r="K252">
            <v>10</v>
          </cell>
          <cell r="L252">
            <v>0</v>
          </cell>
          <cell r="M252">
            <v>20</v>
          </cell>
          <cell r="N252">
            <v>3.6</v>
          </cell>
          <cell r="O252">
            <v>13691</v>
          </cell>
          <cell r="P252">
            <v>42.2</v>
          </cell>
        </row>
        <row r="253">
          <cell r="A253">
            <v>20</v>
          </cell>
          <cell r="C253" t="str">
            <v>FALSE LABOR                                                                       </v>
          </cell>
          <cell r="D253">
            <v>1</v>
          </cell>
          <cell r="E253">
            <v>19</v>
          </cell>
          <cell r="F253">
            <v>0</v>
          </cell>
          <cell r="G253">
            <v>0</v>
          </cell>
          <cell r="H253">
            <v>0</v>
          </cell>
          <cell r="I253">
            <v>20</v>
          </cell>
          <cell r="J253">
            <v>0</v>
          </cell>
          <cell r="K253">
            <v>20</v>
          </cell>
          <cell r="L253">
            <v>0</v>
          </cell>
          <cell r="M253">
            <v>20</v>
          </cell>
          <cell r="N253">
            <v>1.4</v>
          </cell>
          <cell r="O253">
            <v>2430.5</v>
          </cell>
          <cell r="P253">
            <v>26.5</v>
          </cell>
        </row>
        <row r="254">
          <cell r="A254">
            <v>19.001</v>
          </cell>
          <cell r="C254" t="str">
            <v>PROCEDURE W DIAG OF REHAB, AFTERCARE OR OTH CONTACT W HEALTH SERVICE              </v>
          </cell>
          <cell r="D254">
            <v>3</v>
          </cell>
          <cell r="E254">
            <v>6</v>
          </cell>
          <cell r="F254">
            <v>5</v>
          </cell>
          <cell r="G254">
            <v>5</v>
          </cell>
          <cell r="H254">
            <v>0</v>
          </cell>
          <cell r="I254">
            <v>19</v>
          </cell>
          <cell r="J254">
            <v>8</v>
          </cell>
          <cell r="K254">
            <v>11</v>
          </cell>
          <cell r="L254">
            <v>0</v>
          </cell>
          <cell r="M254">
            <v>19</v>
          </cell>
          <cell r="N254">
            <v>16.7</v>
          </cell>
          <cell r="O254">
            <v>66153.89</v>
          </cell>
          <cell r="P254">
            <v>44.4</v>
          </cell>
        </row>
        <row r="255">
          <cell r="A255">
            <v>19.001</v>
          </cell>
          <cell r="C255" t="str">
            <v>SPLENECTOMY                                                                       </v>
          </cell>
          <cell r="D255">
            <v>0</v>
          </cell>
          <cell r="E255">
            <v>8</v>
          </cell>
          <cell r="F255">
            <v>8</v>
          </cell>
          <cell r="G255">
            <v>3</v>
          </cell>
          <cell r="H255">
            <v>0</v>
          </cell>
          <cell r="I255">
            <v>19</v>
          </cell>
          <cell r="J255">
            <v>12</v>
          </cell>
          <cell r="K255">
            <v>7</v>
          </cell>
          <cell r="L255">
            <v>0</v>
          </cell>
          <cell r="M255">
            <v>19</v>
          </cell>
          <cell r="N255">
            <v>4.8</v>
          </cell>
          <cell r="O255">
            <v>33638.41</v>
          </cell>
          <cell r="P255">
            <v>49.2</v>
          </cell>
        </row>
        <row r="256">
          <cell r="A256">
            <v>19.001</v>
          </cell>
          <cell r="C256" t="str">
            <v>D&amp;C, ASPIRATION CURETTAGE OR HYSTEROTOMY FOR OBSTETRIC DIAGNOSES                  </v>
          </cell>
          <cell r="D256">
            <v>1</v>
          </cell>
          <cell r="E256">
            <v>18</v>
          </cell>
          <cell r="F256">
            <v>0</v>
          </cell>
          <cell r="G256">
            <v>0</v>
          </cell>
          <cell r="H256">
            <v>0</v>
          </cell>
          <cell r="I256">
            <v>19</v>
          </cell>
          <cell r="J256">
            <v>0</v>
          </cell>
          <cell r="K256">
            <v>19</v>
          </cell>
          <cell r="L256">
            <v>0</v>
          </cell>
          <cell r="M256">
            <v>19</v>
          </cell>
          <cell r="N256">
            <v>2.9</v>
          </cell>
          <cell r="O256">
            <v>12572.8</v>
          </cell>
          <cell r="P256">
            <v>29.5</v>
          </cell>
        </row>
        <row r="257">
          <cell r="A257">
            <v>19.001</v>
          </cell>
          <cell r="C257" t="str">
            <v>OTHER BLADDER PROCEDURES                                                          </v>
          </cell>
          <cell r="D257">
            <v>0</v>
          </cell>
          <cell r="E257">
            <v>0</v>
          </cell>
          <cell r="F257">
            <v>11</v>
          </cell>
          <cell r="G257">
            <v>8</v>
          </cell>
          <cell r="H257">
            <v>0</v>
          </cell>
          <cell r="I257">
            <v>19</v>
          </cell>
          <cell r="J257">
            <v>8</v>
          </cell>
          <cell r="K257">
            <v>11</v>
          </cell>
          <cell r="L257">
            <v>0</v>
          </cell>
          <cell r="M257">
            <v>19</v>
          </cell>
          <cell r="N257">
            <v>5</v>
          </cell>
          <cell r="O257">
            <v>23216</v>
          </cell>
          <cell r="P257">
            <v>62.6</v>
          </cell>
        </row>
        <row r="258">
          <cell r="A258">
            <v>19.001</v>
          </cell>
          <cell r="C258" t="str">
            <v>BRAIN CONTUSION/LACERATION &amp; COMPLICATED SKULL FX, COMA &lt; 1 HR OR NO COMA         </v>
          </cell>
          <cell r="D258">
            <v>0</v>
          </cell>
          <cell r="E258">
            <v>6</v>
          </cell>
          <cell r="F258">
            <v>8</v>
          </cell>
          <cell r="G258">
            <v>5</v>
          </cell>
          <cell r="H258">
            <v>0</v>
          </cell>
          <cell r="I258">
            <v>19</v>
          </cell>
          <cell r="J258">
            <v>16</v>
          </cell>
          <cell r="K258">
            <v>3</v>
          </cell>
          <cell r="L258">
            <v>0</v>
          </cell>
          <cell r="M258">
            <v>19</v>
          </cell>
          <cell r="N258">
            <v>4.7</v>
          </cell>
          <cell r="O258">
            <v>23299.85</v>
          </cell>
          <cell r="P258">
            <v>51</v>
          </cell>
        </row>
        <row r="259">
          <cell r="A259">
            <v>19</v>
          </cell>
          <cell r="C259" t="str">
            <v>TRACHEOSTOMY W LONG TERM MECHANICAL VENTILATION W EXTENSIVE PROCEDURE             </v>
          </cell>
          <cell r="D259">
            <v>0</v>
          </cell>
          <cell r="E259">
            <v>4</v>
          </cell>
          <cell r="F259">
            <v>9</v>
          </cell>
          <cell r="G259">
            <v>6</v>
          </cell>
          <cell r="H259">
            <v>0</v>
          </cell>
          <cell r="I259">
            <v>19</v>
          </cell>
          <cell r="J259">
            <v>10</v>
          </cell>
          <cell r="K259">
            <v>9</v>
          </cell>
          <cell r="L259">
            <v>0</v>
          </cell>
          <cell r="M259">
            <v>19</v>
          </cell>
          <cell r="N259">
            <v>46.4</v>
          </cell>
          <cell r="O259">
            <v>259409.12</v>
          </cell>
          <cell r="P259">
            <v>55.4</v>
          </cell>
        </row>
        <row r="260">
          <cell r="A260">
            <v>18.001</v>
          </cell>
          <cell r="C260" t="str">
            <v>DRUG &amp; ALCOHOL ABUSE OR DEPENDENCE, LEFT AGAINST MEDICAL ADVICE                   </v>
          </cell>
          <cell r="D260">
            <v>0</v>
          </cell>
          <cell r="E260">
            <v>7</v>
          </cell>
          <cell r="F260">
            <v>11</v>
          </cell>
          <cell r="G260">
            <v>0</v>
          </cell>
          <cell r="H260">
            <v>0</v>
          </cell>
          <cell r="I260">
            <v>18</v>
          </cell>
          <cell r="J260">
            <v>10</v>
          </cell>
          <cell r="K260">
            <v>8</v>
          </cell>
          <cell r="L260">
            <v>0</v>
          </cell>
          <cell r="M260">
            <v>18</v>
          </cell>
          <cell r="N260">
            <v>2.4</v>
          </cell>
          <cell r="O260">
            <v>8232.03</v>
          </cell>
          <cell r="P260">
            <v>46.6</v>
          </cell>
        </row>
        <row r="261">
          <cell r="A261">
            <v>18.001</v>
          </cell>
          <cell r="C261" t="str">
            <v>NEONATE BIRTHWT 1500-1999G W MAJOR ANOMALY                                        </v>
          </cell>
          <cell r="D261">
            <v>18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18</v>
          </cell>
          <cell r="J261">
            <v>7</v>
          </cell>
          <cell r="K261">
            <v>11</v>
          </cell>
          <cell r="L261">
            <v>0</v>
          </cell>
          <cell r="M261">
            <v>18</v>
          </cell>
          <cell r="N261">
            <v>22.2</v>
          </cell>
          <cell r="O261">
            <v>67054.89</v>
          </cell>
          <cell r="P261">
            <v>0</v>
          </cell>
        </row>
        <row r="262">
          <cell r="A262">
            <v>18.001</v>
          </cell>
          <cell r="C262" t="str">
            <v>NEONATE BWT &lt;500G                                                                 </v>
          </cell>
          <cell r="D262">
            <v>18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18</v>
          </cell>
          <cell r="J262">
            <v>9</v>
          </cell>
          <cell r="K262">
            <v>9</v>
          </cell>
          <cell r="L262">
            <v>0</v>
          </cell>
          <cell r="M262">
            <v>18</v>
          </cell>
          <cell r="N262">
            <v>9.8</v>
          </cell>
          <cell r="O262">
            <v>39895.53</v>
          </cell>
          <cell r="P262">
            <v>0</v>
          </cell>
        </row>
        <row r="263">
          <cell r="A263">
            <v>18.001</v>
          </cell>
          <cell r="C263" t="str">
            <v>OTHER O.R. PROC FOR OBSTETRIC DIAGNOSES EXCEPT DELIVERY DIAGNOSES                 </v>
          </cell>
          <cell r="D263">
            <v>0</v>
          </cell>
          <cell r="E263">
            <v>18</v>
          </cell>
          <cell r="F263">
            <v>0</v>
          </cell>
          <cell r="G263">
            <v>0</v>
          </cell>
          <cell r="H263">
            <v>0</v>
          </cell>
          <cell r="I263">
            <v>18</v>
          </cell>
          <cell r="J263">
            <v>0</v>
          </cell>
          <cell r="K263">
            <v>18</v>
          </cell>
          <cell r="L263">
            <v>0</v>
          </cell>
          <cell r="M263">
            <v>18</v>
          </cell>
          <cell r="N263">
            <v>4.5</v>
          </cell>
          <cell r="O263">
            <v>13186.48</v>
          </cell>
          <cell r="P263">
            <v>28.4</v>
          </cell>
        </row>
        <row r="264">
          <cell r="A264">
            <v>18</v>
          </cell>
          <cell r="C264" t="str">
            <v>MAJOR BLADDER PROCEDURES                                                          </v>
          </cell>
          <cell r="D264">
            <v>0</v>
          </cell>
          <cell r="E264">
            <v>0</v>
          </cell>
          <cell r="F264">
            <v>6</v>
          </cell>
          <cell r="G264">
            <v>12</v>
          </cell>
          <cell r="H264">
            <v>0</v>
          </cell>
          <cell r="I264">
            <v>18</v>
          </cell>
          <cell r="J264">
            <v>14</v>
          </cell>
          <cell r="K264">
            <v>4</v>
          </cell>
          <cell r="L264">
            <v>0</v>
          </cell>
          <cell r="M264">
            <v>18</v>
          </cell>
          <cell r="N264">
            <v>12.2</v>
          </cell>
          <cell r="O264">
            <v>58935.83</v>
          </cell>
          <cell r="P264">
            <v>69.3</v>
          </cell>
        </row>
        <row r="265">
          <cell r="A265">
            <v>17</v>
          </cell>
          <cell r="C265" t="str">
            <v>COCAINE ABUSE &amp; DEPENDENCE                                                        </v>
          </cell>
          <cell r="D265">
            <v>0</v>
          </cell>
          <cell r="E265">
            <v>11</v>
          </cell>
          <cell r="F265">
            <v>6</v>
          </cell>
          <cell r="G265">
            <v>0</v>
          </cell>
          <cell r="H265">
            <v>0</v>
          </cell>
          <cell r="I265">
            <v>17</v>
          </cell>
          <cell r="J265">
            <v>14</v>
          </cell>
          <cell r="K265">
            <v>3</v>
          </cell>
          <cell r="L265">
            <v>0</v>
          </cell>
          <cell r="M265">
            <v>17</v>
          </cell>
          <cell r="N265">
            <v>3.6</v>
          </cell>
          <cell r="O265">
            <v>11656.84</v>
          </cell>
          <cell r="P265">
            <v>41.8</v>
          </cell>
        </row>
        <row r="266">
          <cell r="A266">
            <v>16</v>
          </cell>
          <cell r="C266" t="str">
            <v>OTHER MENTAL HEALTH DISORDERS                                                     </v>
          </cell>
          <cell r="D266">
            <v>0</v>
          </cell>
          <cell r="E266">
            <v>7</v>
          </cell>
          <cell r="F266">
            <v>4</v>
          </cell>
          <cell r="G266">
            <v>5</v>
          </cell>
          <cell r="H266">
            <v>0</v>
          </cell>
          <cell r="I266">
            <v>16</v>
          </cell>
          <cell r="J266">
            <v>5</v>
          </cell>
          <cell r="K266">
            <v>11</v>
          </cell>
          <cell r="L266">
            <v>0</v>
          </cell>
          <cell r="M266">
            <v>16</v>
          </cell>
          <cell r="N266">
            <v>8.2</v>
          </cell>
          <cell r="O266">
            <v>13880.03</v>
          </cell>
          <cell r="P266">
            <v>49.5</v>
          </cell>
        </row>
        <row r="267">
          <cell r="A267">
            <v>15.001</v>
          </cell>
          <cell r="C267" t="str">
            <v>CRANIOTOMY FOR MULTIPLE SIGNIFICANT TRAUMA                                        </v>
          </cell>
          <cell r="D267">
            <v>1</v>
          </cell>
          <cell r="E267">
            <v>8</v>
          </cell>
          <cell r="F267">
            <v>3</v>
          </cell>
          <cell r="G267">
            <v>3</v>
          </cell>
          <cell r="H267">
            <v>0</v>
          </cell>
          <cell r="I267">
            <v>15</v>
          </cell>
          <cell r="J267">
            <v>10</v>
          </cell>
          <cell r="K267">
            <v>5</v>
          </cell>
          <cell r="L267">
            <v>0</v>
          </cell>
          <cell r="M267">
            <v>15</v>
          </cell>
          <cell r="N267">
            <v>24.3</v>
          </cell>
          <cell r="O267">
            <v>168493.53</v>
          </cell>
          <cell r="P267">
            <v>40.4</v>
          </cell>
        </row>
        <row r="268">
          <cell r="A268">
            <v>15.001</v>
          </cell>
          <cell r="C268" t="str">
            <v>HIV W MULTIPLE SIGNIFICANT HIV RELATED CONDITIONS                                 </v>
          </cell>
          <cell r="D268">
            <v>0</v>
          </cell>
          <cell r="E268">
            <v>6</v>
          </cell>
          <cell r="F268">
            <v>7</v>
          </cell>
          <cell r="G268">
            <v>2</v>
          </cell>
          <cell r="H268">
            <v>0</v>
          </cell>
          <cell r="I268">
            <v>15</v>
          </cell>
          <cell r="J268">
            <v>10</v>
          </cell>
          <cell r="K268">
            <v>5</v>
          </cell>
          <cell r="L268">
            <v>0</v>
          </cell>
          <cell r="M268">
            <v>15</v>
          </cell>
          <cell r="N268">
            <v>8.1</v>
          </cell>
          <cell r="O268">
            <v>24953.19</v>
          </cell>
          <cell r="P268">
            <v>47.1</v>
          </cell>
        </row>
        <row r="269">
          <cell r="A269">
            <v>15.001</v>
          </cell>
          <cell r="C269" t="str">
            <v>OTHER PROCEDURES FOR ENDOCRINE, NUTRITIONAL &amp; METABOLIC DISORDERS                 </v>
          </cell>
          <cell r="D269">
            <v>0</v>
          </cell>
          <cell r="E269">
            <v>3</v>
          </cell>
          <cell r="F269">
            <v>4</v>
          </cell>
          <cell r="G269">
            <v>8</v>
          </cell>
          <cell r="H269">
            <v>0</v>
          </cell>
          <cell r="I269">
            <v>15</v>
          </cell>
          <cell r="J269">
            <v>7</v>
          </cell>
          <cell r="K269">
            <v>8</v>
          </cell>
          <cell r="L269">
            <v>0</v>
          </cell>
          <cell r="M269">
            <v>15</v>
          </cell>
          <cell r="N269">
            <v>10.1</v>
          </cell>
          <cell r="O269">
            <v>45468.58</v>
          </cell>
          <cell r="P269">
            <v>60.3</v>
          </cell>
        </row>
        <row r="270">
          <cell r="A270">
            <v>15.001</v>
          </cell>
          <cell r="C270" t="str">
            <v>DORSAL &amp; LUMBAR FUSION PROC FOR CURVATURE OF BACK                                 </v>
          </cell>
          <cell r="D270">
            <v>0</v>
          </cell>
          <cell r="E270">
            <v>0</v>
          </cell>
          <cell r="F270">
            <v>8</v>
          </cell>
          <cell r="G270">
            <v>7</v>
          </cell>
          <cell r="H270">
            <v>0</v>
          </cell>
          <cell r="I270">
            <v>15</v>
          </cell>
          <cell r="J270">
            <v>6</v>
          </cell>
          <cell r="K270">
            <v>9</v>
          </cell>
          <cell r="L270">
            <v>0</v>
          </cell>
          <cell r="M270">
            <v>15</v>
          </cell>
          <cell r="N270">
            <v>4.1</v>
          </cell>
          <cell r="O270">
            <v>138812.82</v>
          </cell>
          <cell r="P270">
            <v>66.5</v>
          </cell>
        </row>
        <row r="271">
          <cell r="A271">
            <v>15</v>
          </cell>
          <cell r="C271" t="str">
            <v>EAR, NOSE, MOUTH, THROAT, CRANIAL/FACIAL MALIGNANCIES                             </v>
          </cell>
          <cell r="D271">
            <v>0</v>
          </cell>
          <cell r="E271">
            <v>1</v>
          </cell>
          <cell r="F271">
            <v>6</v>
          </cell>
          <cell r="G271">
            <v>8</v>
          </cell>
          <cell r="H271">
            <v>0</v>
          </cell>
          <cell r="I271">
            <v>15</v>
          </cell>
          <cell r="J271">
            <v>12</v>
          </cell>
          <cell r="K271">
            <v>3</v>
          </cell>
          <cell r="L271">
            <v>0</v>
          </cell>
          <cell r="M271">
            <v>15</v>
          </cell>
          <cell r="N271">
            <v>13.3</v>
          </cell>
          <cell r="O271">
            <v>44229.93</v>
          </cell>
          <cell r="P271">
            <v>64.6</v>
          </cell>
        </row>
        <row r="272">
          <cell r="A272">
            <v>14.001</v>
          </cell>
          <cell r="C272" t="str">
            <v>KIDNEY &amp; URINARY TRACT MALIGNANCY                                                 </v>
          </cell>
          <cell r="D272">
            <v>0</v>
          </cell>
          <cell r="E272">
            <v>0</v>
          </cell>
          <cell r="F272">
            <v>6</v>
          </cell>
          <cell r="G272">
            <v>8</v>
          </cell>
          <cell r="H272">
            <v>0</v>
          </cell>
          <cell r="I272">
            <v>14</v>
          </cell>
          <cell r="J272">
            <v>9</v>
          </cell>
          <cell r="K272">
            <v>5</v>
          </cell>
          <cell r="L272">
            <v>0</v>
          </cell>
          <cell r="M272">
            <v>14</v>
          </cell>
          <cell r="N272">
            <v>7.1</v>
          </cell>
          <cell r="O272">
            <v>21714.05</v>
          </cell>
          <cell r="P272">
            <v>65</v>
          </cell>
        </row>
        <row r="273">
          <cell r="A273">
            <v>14.001</v>
          </cell>
          <cell r="C273" t="str">
            <v>CARDIOMYOPATHY                                                                    </v>
          </cell>
          <cell r="D273">
            <v>0</v>
          </cell>
          <cell r="E273">
            <v>3</v>
          </cell>
          <cell r="F273">
            <v>3</v>
          </cell>
          <cell r="G273">
            <v>8</v>
          </cell>
          <cell r="H273">
            <v>0</v>
          </cell>
          <cell r="I273">
            <v>14</v>
          </cell>
          <cell r="J273">
            <v>10</v>
          </cell>
          <cell r="K273">
            <v>4</v>
          </cell>
          <cell r="L273">
            <v>0</v>
          </cell>
          <cell r="M273">
            <v>14</v>
          </cell>
          <cell r="N273">
            <v>7.3</v>
          </cell>
          <cell r="O273">
            <v>26042.6</v>
          </cell>
          <cell r="P273">
            <v>64.4</v>
          </cell>
        </row>
        <row r="274">
          <cell r="A274">
            <v>14</v>
          </cell>
          <cell r="C274" t="str">
            <v>ACUTE MAJOR EYE INFECTIONS                                                        </v>
          </cell>
          <cell r="D274">
            <v>0</v>
          </cell>
          <cell r="E274">
            <v>7</v>
          </cell>
          <cell r="F274">
            <v>4</v>
          </cell>
          <cell r="G274">
            <v>3</v>
          </cell>
          <cell r="H274">
            <v>0</v>
          </cell>
          <cell r="I274">
            <v>14</v>
          </cell>
          <cell r="J274">
            <v>10</v>
          </cell>
          <cell r="K274">
            <v>4</v>
          </cell>
          <cell r="L274">
            <v>0</v>
          </cell>
          <cell r="M274">
            <v>14</v>
          </cell>
          <cell r="N274">
            <v>3.2</v>
          </cell>
          <cell r="O274">
            <v>10249.7</v>
          </cell>
          <cell r="P274">
            <v>49.1</v>
          </cell>
        </row>
        <row r="275">
          <cell r="A275">
            <v>13</v>
          </cell>
          <cell r="C275" t="str">
            <v>CYSTIC FIBROSIS - PULMONARY DISEASE                                               </v>
          </cell>
          <cell r="D275">
            <v>0</v>
          </cell>
          <cell r="E275">
            <v>13</v>
          </cell>
          <cell r="F275">
            <v>0</v>
          </cell>
          <cell r="G275">
            <v>0</v>
          </cell>
          <cell r="H275">
            <v>0</v>
          </cell>
          <cell r="I275">
            <v>13</v>
          </cell>
          <cell r="J275">
            <v>4</v>
          </cell>
          <cell r="K275">
            <v>9</v>
          </cell>
          <cell r="L275">
            <v>0</v>
          </cell>
          <cell r="M275">
            <v>13</v>
          </cell>
          <cell r="N275">
            <v>9.2</v>
          </cell>
          <cell r="O275">
            <v>45473.96</v>
          </cell>
          <cell r="P275">
            <v>29.7</v>
          </cell>
        </row>
        <row r="276">
          <cell r="A276">
            <v>12</v>
          </cell>
          <cell r="C276" t="str">
            <v>NEONATE BWT 2000-2499G W MAJOR ANOMALY                                            </v>
          </cell>
          <cell r="D276">
            <v>12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12</v>
          </cell>
          <cell r="J276">
            <v>6</v>
          </cell>
          <cell r="K276">
            <v>6</v>
          </cell>
          <cell r="L276">
            <v>0</v>
          </cell>
          <cell r="M276">
            <v>12</v>
          </cell>
          <cell r="N276">
            <v>14</v>
          </cell>
          <cell r="O276">
            <v>41232.05</v>
          </cell>
          <cell r="P276">
            <v>0</v>
          </cell>
        </row>
        <row r="277">
          <cell r="A277">
            <v>10.001</v>
          </cell>
          <cell r="C277" t="str">
            <v>PARTIAL THICKNESS BURNS W OR W/O SKIN GRAFT                                       </v>
          </cell>
          <cell r="D277">
            <v>0</v>
          </cell>
          <cell r="E277">
            <v>8</v>
          </cell>
          <cell r="F277">
            <v>1</v>
          </cell>
          <cell r="G277">
            <v>1</v>
          </cell>
          <cell r="H277">
            <v>0</v>
          </cell>
          <cell r="I277">
            <v>10</v>
          </cell>
          <cell r="J277">
            <v>6</v>
          </cell>
          <cell r="K277">
            <v>4</v>
          </cell>
          <cell r="L277">
            <v>0</v>
          </cell>
          <cell r="M277">
            <v>10</v>
          </cell>
          <cell r="N277">
            <v>3.3</v>
          </cell>
          <cell r="O277">
            <v>8775.28</v>
          </cell>
          <cell r="P277">
            <v>41.4</v>
          </cell>
        </row>
        <row r="278">
          <cell r="A278">
            <v>10.001</v>
          </cell>
          <cell r="C278" t="str">
            <v>NEONATE BWT 1250-1499G W OR W/O OTHER SIGNIFICANT CONDITION                       </v>
          </cell>
          <cell r="D278">
            <v>10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10</v>
          </cell>
          <cell r="J278">
            <v>5</v>
          </cell>
          <cell r="K278">
            <v>5</v>
          </cell>
          <cell r="L278">
            <v>0</v>
          </cell>
          <cell r="M278">
            <v>10</v>
          </cell>
          <cell r="N278">
            <v>23.8</v>
          </cell>
          <cell r="O278">
            <v>60633.38</v>
          </cell>
          <cell r="P278">
            <v>0</v>
          </cell>
        </row>
        <row r="279">
          <cell r="A279">
            <v>10.001</v>
          </cell>
          <cell r="C279" t="str">
            <v>ACUTE &amp; SUBACUTE ENDOCARDITIS                                                     </v>
          </cell>
          <cell r="D279">
            <v>0</v>
          </cell>
          <cell r="E279">
            <v>2</v>
          </cell>
          <cell r="F279">
            <v>3</v>
          </cell>
          <cell r="G279">
            <v>5</v>
          </cell>
          <cell r="H279">
            <v>0</v>
          </cell>
          <cell r="I279">
            <v>10</v>
          </cell>
          <cell r="J279">
            <v>5</v>
          </cell>
          <cell r="K279">
            <v>5</v>
          </cell>
          <cell r="L279">
            <v>0</v>
          </cell>
          <cell r="M279">
            <v>10</v>
          </cell>
          <cell r="N279">
            <v>6.9</v>
          </cell>
          <cell r="O279">
            <v>25616.41</v>
          </cell>
          <cell r="P279">
            <v>63.4</v>
          </cell>
        </row>
        <row r="280">
          <cell r="A280">
            <v>10</v>
          </cell>
          <cell r="C280" t="str">
            <v>EYE PROCEDURES EXCEPT ORBIT                                                       </v>
          </cell>
          <cell r="D280">
            <v>0</v>
          </cell>
          <cell r="E280">
            <v>6</v>
          </cell>
          <cell r="F280">
            <v>1</v>
          </cell>
          <cell r="G280">
            <v>3</v>
          </cell>
          <cell r="H280">
            <v>0</v>
          </cell>
          <cell r="I280">
            <v>10</v>
          </cell>
          <cell r="J280">
            <v>7</v>
          </cell>
          <cell r="K280">
            <v>3</v>
          </cell>
          <cell r="L280">
            <v>0</v>
          </cell>
          <cell r="M280">
            <v>10</v>
          </cell>
          <cell r="N280">
            <v>2.4</v>
          </cell>
          <cell r="O280">
            <v>10627.98</v>
          </cell>
          <cell r="P280">
            <v>52</v>
          </cell>
        </row>
        <row r="281">
          <cell r="A281">
            <v>9.001</v>
          </cell>
          <cell r="C281" t="str">
            <v>ADJUSTMENT DISORDERS &amp; NEUROSES EXCEPT DEPRESSIVE DIAGNOSES                       </v>
          </cell>
          <cell r="D281">
            <v>0</v>
          </cell>
          <cell r="E281">
            <v>5</v>
          </cell>
          <cell r="F281">
            <v>1</v>
          </cell>
          <cell r="G281">
            <v>3</v>
          </cell>
          <cell r="H281">
            <v>0</v>
          </cell>
          <cell r="I281">
            <v>9</v>
          </cell>
          <cell r="J281">
            <v>2</v>
          </cell>
          <cell r="K281">
            <v>7</v>
          </cell>
          <cell r="L281">
            <v>0</v>
          </cell>
          <cell r="M281">
            <v>9</v>
          </cell>
          <cell r="N281">
            <v>4.7</v>
          </cell>
          <cell r="O281">
            <v>12109.23</v>
          </cell>
          <cell r="P281">
            <v>48.1</v>
          </cell>
        </row>
        <row r="282">
          <cell r="A282">
            <v>9</v>
          </cell>
          <cell r="C282" t="str">
            <v>OTHER PROCEDURES OF BLOOD &amp; BLOOD-FORMING ORGANS                                  </v>
          </cell>
          <cell r="D282">
            <v>0</v>
          </cell>
          <cell r="E282">
            <v>1</v>
          </cell>
          <cell r="F282">
            <v>4</v>
          </cell>
          <cell r="G282">
            <v>4</v>
          </cell>
          <cell r="H282">
            <v>0</v>
          </cell>
          <cell r="I282">
            <v>9</v>
          </cell>
          <cell r="J282">
            <v>3</v>
          </cell>
          <cell r="K282">
            <v>6</v>
          </cell>
          <cell r="L282">
            <v>0</v>
          </cell>
          <cell r="M282">
            <v>9</v>
          </cell>
          <cell r="N282">
            <v>7.1</v>
          </cell>
          <cell r="O282">
            <v>34983.91</v>
          </cell>
          <cell r="P282">
            <v>60.4</v>
          </cell>
        </row>
        <row r="283">
          <cell r="A283">
            <v>8.001</v>
          </cell>
          <cell r="C283" t="str">
            <v>NEONATE, TRANSFERRED &lt;5 DAYS OLD, NOT BORN HERE                                   </v>
          </cell>
          <cell r="D283">
            <v>8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8</v>
          </cell>
          <cell r="J283">
            <v>5</v>
          </cell>
          <cell r="K283">
            <v>3</v>
          </cell>
          <cell r="L283">
            <v>0</v>
          </cell>
          <cell r="M283">
            <v>8</v>
          </cell>
          <cell r="N283">
            <v>1.9</v>
          </cell>
          <cell r="O283">
            <v>25477.66</v>
          </cell>
          <cell r="P283">
            <v>0</v>
          </cell>
        </row>
        <row r="284">
          <cell r="A284">
            <v>8.001</v>
          </cell>
          <cell r="C284" t="str">
            <v>NEPHRITIS &amp; NEPHROSIS                                                             </v>
          </cell>
          <cell r="D284">
            <v>0</v>
          </cell>
          <cell r="E284">
            <v>0</v>
          </cell>
          <cell r="F284">
            <v>5</v>
          </cell>
          <cell r="G284">
            <v>3</v>
          </cell>
          <cell r="H284">
            <v>0</v>
          </cell>
          <cell r="I284">
            <v>8</v>
          </cell>
          <cell r="J284">
            <v>3</v>
          </cell>
          <cell r="K284">
            <v>5</v>
          </cell>
          <cell r="L284">
            <v>0</v>
          </cell>
          <cell r="M284">
            <v>8</v>
          </cell>
          <cell r="N284">
            <v>4.9</v>
          </cell>
          <cell r="O284">
            <v>21386.36</v>
          </cell>
          <cell r="P284">
            <v>65.4</v>
          </cell>
        </row>
        <row r="285">
          <cell r="A285">
            <v>8.001</v>
          </cell>
          <cell r="C285" t="str">
            <v>MALIGNANT BREAST DISORDERS                                                        </v>
          </cell>
          <cell r="D285">
            <v>0</v>
          </cell>
          <cell r="E285">
            <v>0</v>
          </cell>
          <cell r="F285">
            <v>6</v>
          </cell>
          <cell r="G285">
            <v>2</v>
          </cell>
          <cell r="H285">
            <v>0</v>
          </cell>
          <cell r="I285">
            <v>8</v>
          </cell>
          <cell r="J285">
            <v>0</v>
          </cell>
          <cell r="K285">
            <v>8</v>
          </cell>
          <cell r="L285">
            <v>0</v>
          </cell>
          <cell r="M285">
            <v>8</v>
          </cell>
          <cell r="N285">
            <v>4.1</v>
          </cell>
          <cell r="O285">
            <v>15369.7</v>
          </cell>
          <cell r="P285">
            <v>67.1</v>
          </cell>
        </row>
        <row r="286">
          <cell r="A286">
            <v>8.001</v>
          </cell>
          <cell r="C286" t="str">
            <v>PERMANENT CARDIAC PACEMAKER IMPLANT W AMI, HEART FAILURE OR SHOCK                 </v>
          </cell>
          <cell r="D286">
            <v>0</v>
          </cell>
          <cell r="E286">
            <v>0</v>
          </cell>
          <cell r="F286">
            <v>0</v>
          </cell>
          <cell r="G286">
            <v>8</v>
          </cell>
          <cell r="H286">
            <v>0</v>
          </cell>
          <cell r="I286">
            <v>8</v>
          </cell>
          <cell r="J286">
            <v>2</v>
          </cell>
          <cell r="K286">
            <v>6</v>
          </cell>
          <cell r="L286">
            <v>0</v>
          </cell>
          <cell r="M286">
            <v>8</v>
          </cell>
          <cell r="N286">
            <v>6.1</v>
          </cell>
          <cell r="O286">
            <v>73322.18</v>
          </cell>
          <cell r="P286">
            <v>81.3</v>
          </cell>
        </row>
        <row r="287">
          <cell r="A287">
            <v>8</v>
          </cell>
          <cell r="C287" t="str">
            <v>SINUS &amp; MASTOID PROCEDURES                                                        </v>
          </cell>
          <cell r="D287">
            <v>0</v>
          </cell>
          <cell r="E287">
            <v>5</v>
          </cell>
          <cell r="F287">
            <v>2</v>
          </cell>
          <cell r="G287">
            <v>1</v>
          </cell>
          <cell r="H287">
            <v>0</v>
          </cell>
          <cell r="I287">
            <v>8</v>
          </cell>
          <cell r="J287">
            <v>4</v>
          </cell>
          <cell r="K287">
            <v>4</v>
          </cell>
          <cell r="L287">
            <v>0</v>
          </cell>
          <cell r="M287">
            <v>8</v>
          </cell>
          <cell r="N287">
            <v>5.3</v>
          </cell>
          <cell r="O287">
            <v>28259.46</v>
          </cell>
          <cell r="P287">
            <v>45.1</v>
          </cell>
        </row>
        <row r="288">
          <cell r="A288">
            <v>7.001</v>
          </cell>
          <cell r="C288" t="str">
            <v>NEONATAL AFTERCARE                                                                </v>
          </cell>
          <cell r="D288">
            <v>7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7</v>
          </cell>
          <cell r="J288">
            <v>4</v>
          </cell>
          <cell r="K288">
            <v>3</v>
          </cell>
          <cell r="L288">
            <v>0</v>
          </cell>
          <cell r="M288">
            <v>7</v>
          </cell>
          <cell r="N288">
            <v>37</v>
          </cell>
          <cell r="O288">
            <v>118891.47</v>
          </cell>
          <cell r="P288">
            <v>0</v>
          </cell>
        </row>
        <row r="289">
          <cell r="A289">
            <v>7.001</v>
          </cell>
          <cell r="C289" t="str">
            <v>OTHER AFTERCARE &amp; CONVALESCENCE                                                   </v>
          </cell>
          <cell r="D289">
            <v>0</v>
          </cell>
          <cell r="E289">
            <v>2</v>
          </cell>
          <cell r="F289">
            <v>3</v>
          </cell>
          <cell r="G289">
            <v>2</v>
          </cell>
          <cell r="H289">
            <v>0</v>
          </cell>
          <cell r="I289">
            <v>7</v>
          </cell>
          <cell r="J289">
            <v>3</v>
          </cell>
          <cell r="K289">
            <v>4</v>
          </cell>
          <cell r="L289">
            <v>0</v>
          </cell>
          <cell r="M289">
            <v>7</v>
          </cell>
          <cell r="N289">
            <v>13.6</v>
          </cell>
          <cell r="O289">
            <v>24410.89</v>
          </cell>
          <cell r="P289">
            <v>49.4</v>
          </cell>
        </row>
        <row r="290">
          <cell r="A290">
            <v>7.001</v>
          </cell>
          <cell r="C290" t="str">
            <v>MALIGNANCY, MALE REPRODUCTIVE SYSTEM                                              </v>
          </cell>
          <cell r="D290">
            <v>0</v>
          </cell>
          <cell r="E290">
            <v>1</v>
          </cell>
          <cell r="F290">
            <v>1</v>
          </cell>
          <cell r="G290">
            <v>5</v>
          </cell>
          <cell r="H290">
            <v>0</v>
          </cell>
          <cell r="I290">
            <v>7</v>
          </cell>
          <cell r="J290">
            <v>7</v>
          </cell>
          <cell r="K290">
            <v>0</v>
          </cell>
          <cell r="L290">
            <v>0</v>
          </cell>
          <cell r="M290">
            <v>7</v>
          </cell>
          <cell r="N290">
            <v>5.6</v>
          </cell>
          <cell r="O290">
            <v>18471.04</v>
          </cell>
          <cell r="P290">
            <v>67.6</v>
          </cell>
        </row>
        <row r="291">
          <cell r="A291">
            <v>7</v>
          </cell>
          <cell r="C291" t="str">
            <v>MAJOR LARYNX &amp; TRACHEA PROCEDURES                                                 </v>
          </cell>
          <cell r="D291">
            <v>0</v>
          </cell>
          <cell r="E291">
            <v>0</v>
          </cell>
          <cell r="F291">
            <v>3</v>
          </cell>
          <cell r="G291">
            <v>4</v>
          </cell>
          <cell r="H291">
            <v>0</v>
          </cell>
          <cell r="I291">
            <v>7</v>
          </cell>
          <cell r="J291">
            <v>7</v>
          </cell>
          <cell r="K291">
            <v>0</v>
          </cell>
          <cell r="L291">
            <v>0</v>
          </cell>
          <cell r="M291">
            <v>7</v>
          </cell>
          <cell r="N291">
            <v>25.4</v>
          </cell>
          <cell r="O291">
            <v>82063.08</v>
          </cell>
          <cell r="P291">
            <v>66</v>
          </cell>
        </row>
        <row r="292">
          <cell r="A292">
            <v>6.001</v>
          </cell>
          <cell r="C292" t="str">
            <v>PENIS PROCEDURES                                                                  </v>
          </cell>
          <cell r="D292">
            <v>0</v>
          </cell>
          <cell r="E292">
            <v>4</v>
          </cell>
          <cell r="F292">
            <v>2</v>
          </cell>
          <cell r="G292">
            <v>0</v>
          </cell>
          <cell r="H292">
            <v>0</v>
          </cell>
          <cell r="I292">
            <v>6</v>
          </cell>
          <cell r="J292">
            <v>6</v>
          </cell>
          <cell r="K292">
            <v>0</v>
          </cell>
          <cell r="L292">
            <v>0</v>
          </cell>
          <cell r="M292">
            <v>6</v>
          </cell>
          <cell r="N292">
            <v>2.3</v>
          </cell>
          <cell r="O292">
            <v>15799.36</v>
          </cell>
          <cell r="P292">
            <v>43</v>
          </cell>
        </row>
        <row r="293">
          <cell r="A293">
            <v>6</v>
          </cell>
          <cell r="C293" t="str">
            <v>ORBITAL PROCEDURES                                                                </v>
          </cell>
          <cell r="D293">
            <v>0</v>
          </cell>
          <cell r="E293">
            <v>2</v>
          </cell>
          <cell r="F293">
            <v>2</v>
          </cell>
          <cell r="G293">
            <v>2</v>
          </cell>
          <cell r="H293">
            <v>0</v>
          </cell>
          <cell r="I293">
            <v>6</v>
          </cell>
          <cell r="J293">
            <v>4</v>
          </cell>
          <cell r="K293">
            <v>2</v>
          </cell>
          <cell r="L293">
            <v>0</v>
          </cell>
          <cell r="M293">
            <v>6</v>
          </cell>
          <cell r="N293">
            <v>5</v>
          </cell>
          <cell r="O293">
            <v>22955.24</v>
          </cell>
          <cell r="P293">
            <v>57</v>
          </cell>
        </row>
        <row r="294">
          <cell r="A294">
            <v>5.001</v>
          </cell>
          <cell r="C294" t="str">
            <v>EXTENSIVE 3RD DEGREE OR FULL THICKNESS BURNS W/O SKIN GRAFT                       </v>
          </cell>
          <cell r="D294">
            <v>0</v>
          </cell>
          <cell r="E294">
            <v>1</v>
          </cell>
          <cell r="F294">
            <v>3</v>
          </cell>
          <cell r="G294">
            <v>1</v>
          </cell>
          <cell r="H294">
            <v>0</v>
          </cell>
          <cell r="I294">
            <v>5</v>
          </cell>
          <cell r="J294">
            <v>3</v>
          </cell>
          <cell r="K294">
            <v>2</v>
          </cell>
          <cell r="L294">
            <v>0</v>
          </cell>
          <cell r="M294">
            <v>5</v>
          </cell>
          <cell r="N294">
            <v>6.8</v>
          </cell>
          <cell r="O294">
            <v>27695.38</v>
          </cell>
          <cell r="P294">
            <v>56.4</v>
          </cell>
        </row>
        <row r="295">
          <cell r="A295">
            <v>5</v>
          </cell>
          <cell r="C295" t="str">
            <v>TESTES &amp; SCROTAL PROCEDURES                                                       </v>
          </cell>
          <cell r="D295">
            <v>2</v>
          </cell>
          <cell r="E295">
            <v>3</v>
          </cell>
          <cell r="F295">
            <v>0</v>
          </cell>
          <cell r="G295">
            <v>0</v>
          </cell>
          <cell r="H295">
            <v>0</v>
          </cell>
          <cell r="I295">
            <v>5</v>
          </cell>
          <cell r="J295">
            <v>5</v>
          </cell>
          <cell r="K295">
            <v>0</v>
          </cell>
          <cell r="L295">
            <v>0</v>
          </cell>
          <cell r="M295">
            <v>5</v>
          </cell>
          <cell r="N295">
            <v>1.2</v>
          </cell>
          <cell r="O295">
            <v>9133.73</v>
          </cell>
          <cell r="P295">
            <v>20.2</v>
          </cell>
        </row>
        <row r="296">
          <cell r="A296">
            <v>4.001</v>
          </cell>
          <cell r="C296" t="str">
            <v>MENTAL ILLNESS DIAGNOSIS W O.R. PROCEDURE                                         </v>
          </cell>
          <cell r="D296">
            <v>0</v>
          </cell>
          <cell r="E296">
            <v>2</v>
          </cell>
          <cell r="F296">
            <v>1</v>
          </cell>
          <cell r="G296">
            <v>1</v>
          </cell>
          <cell r="H296">
            <v>0</v>
          </cell>
          <cell r="I296">
            <v>4</v>
          </cell>
          <cell r="J296">
            <v>4</v>
          </cell>
          <cell r="K296">
            <v>0</v>
          </cell>
          <cell r="L296">
            <v>0</v>
          </cell>
          <cell r="M296">
            <v>4</v>
          </cell>
          <cell r="N296">
            <v>28.3</v>
          </cell>
          <cell r="O296">
            <v>55258.21</v>
          </cell>
          <cell r="P296">
            <v>43.5</v>
          </cell>
        </row>
        <row r="297">
          <cell r="A297">
            <v>4.001</v>
          </cell>
          <cell r="C297" t="str">
            <v>NEONATE BIRTHWT 1500-1999G W CONGENITAL/PERINATAL INFECTION                       </v>
          </cell>
          <cell r="D297">
            <v>4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</v>
          </cell>
          <cell r="J297">
            <v>3</v>
          </cell>
          <cell r="K297">
            <v>1</v>
          </cell>
          <cell r="L297">
            <v>0</v>
          </cell>
          <cell r="M297">
            <v>4</v>
          </cell>
          <cell r="N297">
            <v>13</v>
          </cell>
          <cell r="O297">
            <v>30793.18</v>
          </cell>
          <cell r="P297">
            <v>0</v>
          </cell>
        </row>
        <row r="298">
          <cell r="A298">
            <v>4.001</v>
          </cell>
          <cell r="C298" t="str">
            <v>NEONATE BIRTHWT 1000-1249G W OR W/O OTHER SIGNIFICANT CONDITION                   </v>
          </cell>
          <cell r="D298">
            <v>4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</v>
          </cell>
          <cell r="J298">
            <v>2</v>
          </cell>
          <cell r="K298">
            <v>2</v>
          </cell>
          <cell r="L298">
            <v>0</v>
          </cell>
          <cell r="M298">
            <v>4</v>
          </cell>
          <cell r="N298">
            <v>22.8</v>
          </cell>
          <cell r="O298">
            <v>61797.39</v>
          </cell>
          <cell r="P298">
            <v>0</v>
          </cell>
        </row>
        <row r="299">
          <cell r="A299">
            <v>4.001</v>
          </cell>
          <cell r="C299" t="str">
            <v>DILATION &amp; CURETTAGE FOR NON-OBSTETRIC DIAGNOSES                                  </v>
          </cell>
          <cell r="D299">
            <v>1</v>
          </cell>
          <cell r="E299">
            <v>1</v>
          </cell>
          <cell r="F299">
            <v>0</v>
          </cell>
          <cell r="G299">
            <v>2</v>
          </cell>
          <cell r="H299">
            <v>0</v>
          </cell>
          <cell r="I299">
            <v>4</v>
          </cell>
          <cell r="J299">
            <v>0</v>
          </cell>
          <cell r="K299">
            <v>4</v>
          </cell>
          <cell r="L299">
            <v>0</v>
          </cell>
          <cell r="M299">
            <v>4</v>
          </cell>
          <cell r="N299">
            <v>3.3</v>
          </cell>
          <cell r="O299">
            <v>13423.09</v>
          </cell>
          <cell r="P299">
            <v>53.3</v>
          </cell>
        </row>
        <row r="300">
          <cell r="A300">
            <v>4</v>
          </cell>
          <cell r="C300" t="str">
            <v>OTHER MALE REPRODUCTIVE SYSTEM &amp; RELATED PROCEDURES                               </v>
          </cell>
          <cell r="D300">
            <v>0</v>
          </cell>
          <cell r="E300">
            <v>1</v>
          </cell>
          <cell r="F300">
            <v>0</v>
          </cell>
          <cell r="G300">
            <v>3</v>
          </cell>
          <cell r="H300">
            <v>0</v>
          </cell>
          <cell r="I300">
            <v>4</v>
          </cell>
          <cell r="J300">
            <v>4</v>
          </cell>
          <cell r="K300">
            <v>0</v>
          </cell>
          <cell r="L300">
            <v>0</v>
          </cell>
          <cell r="M300">
            <v>4</v>
          </cell>
          <cell r="N300">
            <v>23.8</v>
          </cell>
          <cell r="O300">
            <v>151676.48</v>
          </cell>
          <cell r="P300">
            <v>64.5</v>
          </cell>
        </row>
        <row r="301">
          <cell r="A301">
            <v>3.001</v>
          </cell>
          <cell r="C301" t="str">
            <v>DISORDERS OF PERSONALITY &amp; IMPULSE CONTROL                                        </v>
          </cell>
          <cell r="D301">
            <v>0</v>
          </cell>
          <cell r="E301">
            <v>1</v>
          </cell>
          <cell r="F301">
            <v>2</v>
          </cell>
          <cell r="G301">
            <v>0</v>
          </cell>
          <cell r="H301">
            <v>0</v>
          </cell>
          <cell r="I301">
            <v>3</v>
          </cell>
          <cell r="J301">
            <v>2</v>
          </cell>
          <cell r="K301">
            <v>1</v>
          </cell>
          <cell r="L301">
            <v>0</v>
          </cell>
          <cell r="M301">
            <v>3</v>
          </cell>
          <cell r="N301">
            <v>17.7</v>
          </cell>
          <cell r="O301">
            <v>28150.18</v>
          </cell>
          <cell r="P301">
            <v>46</v>
          </cell>
        </row>
        <row r="302">
          <cell r="A302">
            <v>3</v>
          </cell>
          <cell r="C302" t="str">
            <v>NEONATE BWT 2000-2499G W CONGENITAL/PERINATAL INFECTION                           </v>
          </cell>
          <cell r="D302">
            <v>3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3</v>
          </cell>
          <cell r="J302">
            <v>1</v>
          </cell>
          <cell r="K302">
            <v>2</v>
          </cell>
          <cell r="L302">
            <v>0</v>
          </cell>
          <cell r="M302">
            <v>3</v>
          </cell>
          <cell r="N302">
            <v>6</v>
          </cell>
          <cell r="O302">
            <v>15569.92</v>
          </cell>
          <cell r="P302">
            <v>0</v>
          </cell>
        </row>
        <row r="303">
          <cell r="A303">
            <v>2.001</v>
          </cell>
          <cell r="C303" t="str">
            <v>RADIOTHERAPY                                                                      </v>
          </cell>
          <cell r="D303">
            <v>1</v>
          </cell>
          <cell r="E303">
            <v>0</v>
          </cell>
          <cell r="F303">
            <v>1</v>
          </cell>
          <cell r="G303">
            <v>0</v>
          </cell>
          <cell r="H303">
            <v>0</v>
          </cell>
          <cell r="I303">
            <v>2</v>
          </cell>
          <cell r="J303">
            <v>1</v>
          </cell>
          <cell r="K303">
            <v>1</v>
          </cell>
          <cell r="L303">
            <v>0</v>
          </cell>
          <cell r="M303">
            <v>2</v>
          </cell>
          <cell r="N303">
            <v>5.5</v>
          </cell>
          <cell r="O303">
            <v>15639.45</v>
          </cell>
          <cell r="P303">
            <v>33</v>
          </cell>
        </row>
        <row r="304">
          <cell r="A304">
            <v>2.001</v>
          </cell>
          <cell r="C304" t="str">
            <v>BPD &amp; OTH CHRONIC RESPIRATORY DISEASES ARISING IN PERINATAL PERIOD                </v>
          </cell>
          <cell r="D304">
            <v>2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2</v>
          </cell>
          <cell r="J304">
            <v>0</v>
          </cell>
          <cell r="K304">
            <v>2</v>
          </cell>
          <cell r="L304">
            <v>0</v>
          </cell>
          <cell r="M304">
            <v>2</v>
          </cell>
          <cell r="N304">
            <v>51.5</v>
          </cell>
          <cell r="O304">
            <v>123679.8</v>
          </cell>
          <cell r="P304">
            <v>0</v>
          </cell>
        </row>
        <row r="305">
          <cell r="A305">
            <v>2</v>
          </cell>
          <cell r="C305" t="str">
            <v>CLEFT LIP &amp; PALATE REPAIR                                                         </v>
          </cell>
          <cell r="D305">
            <v>0</v>
          </cell>
          <cell r="E305">
            <v>1</v>
          </cell>
          <cell r="F305">
            <v>0</v>
          </cell>
          <cell r="G305">
            <v>1</v>
          </cell>
          <cell r="H305">
            <v>0</v>
          </cell>
          <cell r="I305">
            <v>2</v>
          </cell>
          <cell r="J305">
            <v>0</v>
          </cell>
          <cell r="K305">
            <v>2</v>
          </cell>
          <cell r="L305">
            <v>0</v>
          </cell>
          <cell r="M305">
            <v>2</v>
          </cell>
          <cell r="N305">
            <v>1</v>
          </cell>
          <cell r="O305">
            <v>13773.55</v>
          </cell>
          <cell r="P305">
            <v>46</v>
          </cell>
        </row>
        <row r="306">
          <cell r="A306">
            <v>1.001</v>
          </cell>
          <cell r="C306" t="str">
            <v>FULL THICKNESS BURNS W SKIN GRAFT                                                 </v>
          </cell>
          <cell r="D306">
            <v>0</v>
          </cell>
          <cell r="E306">
            <v>0</v>
          </cell>
          <cell r="F306">
            <v>0</v>
          </cell>
          <cell r="G306">
            <v>1</v>
          </cell>
          <cell r="H306">
            <v>0</v>
          </cell>
          <cell r="I306">
            <v>1</v>
          </cell>
          <cell r="J306">
            <v>0</v>
          </cell>
          <cell r="K306">
            <v>1</v>
          </cell>
          <cell r="L306">
            <v>0</v>
          </cell>
          <cell r="M306">
            <v>1</v>
          </cell>
          <cell r="N306">
            <v>11</v>
          </cell>
          <cell r="O306">
            <v>22008.45</v>
          </cell>
          <cell r="P306">
            <v>76</v>
          </cell>
        </row>
        <row r="307">
          <cell r="A307">
            <v>1.001</v>
          </cell>
          <cell r="C307" t="str">
            <v>EATING DISORDERS                                                                  </v>
          </cell>
          <cell r="D307">
            <v>0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1</v>
          </cell>
          <cell r="J307">
            <v>0</v>
          </cell>
          <cell r="K307">
            <v>1</v>
          </cell>
          <cell r="L307">
            <v>0</v>
          </cell>
          <cell r="M307">
            <v>1</v>
          </cell>
          <cell r="N307">
            <v>14</v>
          </cell>
          <cell r="O307">
            <v>62469.35</v>
          </cell>
          <cell r="P307">
            <v>24</v>
          </cell>
        </row>
        <row r="308">
          <cell r="A308">
            <v>1.001</v>
          </cell>
          <cell r="C308" t="str">
            <v>CHILDHOOD BEHAVIORAL DISORDERS                                                    </v>
          </cell>
          <cell r="D308">
            <v>0</v>
          </cell>
          <cell r="E308">
            <v>0</v>
          </cell>
          <cell r="F308">
            <v>1</v>
          </cell>
          <cell r="G308">
            <v>0</v>
          </cell>
          <cell r="H308">
            <v>0</v>
          </cell>
          <cell r="I308">
            <v>1</v>
          </cell>
          <cell r="J308">
            <v>1</v>
          </cell>
          <cell r="K308">
            <v>0</v>
          </cell>
          <cell r="L308">
            <v>0</v>
          </cell>
          <cell r="M308">
            <v>1</v>
          </cell>
          <cell r="N308">
            <v>1</v>
          </cell>
          <cell r="O308">
            <v>2667.55</v>
          </cell>
          <cell r="P308">
            <v>46</v>
          </cell>
        </row>
        <row r="309">
          <cell r="I309">
            <v>28712</v>
          </cell>
        </row>
        <row r="310">
          <cell r="I310">
            <v>58534</v>
          </cell>
        </row>
      </sheetData>
      <sheetData sheetId="15">
        <row r="5">
          <cell r="A5">
            <v>2103</v>
          </cell>
          <cell r="B5" t="str">
            <v>drg</v>
          </cell>
          <cell r="C5" t="str">
            <v>NEONATE BIRTHWT &gt;2499G, NORMAL NEWBORN OR NEONATE W OTHER PROBLEM                 </v>
          </cell>
          <cell r="D5">
            <v>2103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2103</v>
          </cell>
          <cell r="J5">
            <v>1037</v>
          </cell>
          <cell r="K5">
            <v>1066</v>
          </cell>
          <cell r="L5">
            <v>0</v>
          </cell>
          <cell r="M5">
            <v>2103</v>
          </cell>
          <cell r="N5">
            <v>2.2</v>
          </cell>
          <cell r="O5">
            <v>2345.63</v>
          </cell>
          <cell r="P5">
            <v>0</v>
          </cell>
        </row>
        <row r="6">
          <cell r="A6">
            <v>1478</v>
          </cell>
          <cell r="C6" t="str">
            <v>VAGINAL DELIVERY                                                                  </v>
          </cell>
          <cell r="D6">
            <v>60</v>
          </cell>
          <cell r="E6">
            <v>1416</v>
          </cell>
          <cell r="F6">
            <v>2</v>
          </cell>
          <cell r="G6">
            <v>0</v>
          </cell>
          <cell r="H6">
            <v>0</v>
          </cell>
          <cell r="I6">
            <v>1478</v>
          </cell>
          <cell r="J6">
            <v>0</v>
          </cell>
          <cell r="K6">
            <v>1478</v>
          </cell>
          <cell r="L6">
            <v>0</v>
          </cell>
          <cell r="M6">
            <v>1478</v>
          </cell>
          <cell r="N6">
            <v>2.4</v>
          </cell>
          <cell r="O6">
            <v>7080.52</v>
          </cell>
          <cell r="P6">
            <v>25.9</v>
          </cell>
        </row>
        <row r="7">
          <cell r="A7">
            <v>880</v>
          </cell>
          <cell r="C7" t="str">
            <v>REHABILITATION                                                                    </v>
          </cell>
          <cell r="D7">
            <v>0</v>
          </cell>
          <cell r="E7">
            <v>40</v>
          </cell>
          <cell r="F7">
            <v>200</v>
          </cell>
          <cell r="G7">
            <v>640</v>
          </cell>
          <cell r="H7">
            <v>0</v>
          </cell>
          <cell r="I7">
            <v>880</v>
          </cell>
          <cell r="J7">
            <v>431</v>
          </cell>
          <cell r="K7">
            <v>449</v>
          </cell>
          <cell r="L7">
            <v>0</v>
          </cell>
          <cell r="M7">
            <v>880</v>
          </cell>
          <cell r="N7">
            <v>12.2</v>
          </cell>
          <cell r="O7">
            <v>26902.47</v>
          </cell>
          <cell r="P7">
            <v>71.1</v>
          </cell>
        </row>
        <row r="8">
          <cell r="A8">
            <v>739</v>
          </cell>
          <cell r="C8" t="str">
            <v>CESAREAN DELIVERY                                                                 </v>
          </cell>
          <cell r="D8">
            <v>8</v>
          </cell>
          <cell r="E8">
            <v>726</v>
          </cell>
          <cell r="F8">
            <v>5</v>
          </cell>
          <cell r="G8">
            <v>0</v>
          </cell>
          <cell r="H8">
            <v>0</v>
          </cell>
          <cell r="I8">
            <v>739</v>
          </cell>
          <cell r="J8">
            <v>0</v>
          </cell>
          <cell r="K8">
            <v>739</v>
          </cell>
          <cell r="L8">
            <v>0</v>
          </cell>
          <cell r="M8">
            <v>739</v>
          </cell>
          <cell r="N8">
            <v>3.3</v>
          </cell>
          <cell r="O8">
            <v>11112.28</v>
          </cell>
          <cell r="P8">
            <v>27.8</v>
          </cell>
        </row>
        <row r="9">
          <cell r="A9">
            <v>721</v>
          </cell>
          <cell r="C9" t="str">
            <v>OTHER PNEUMONIA                                                                   </v>
          </cell>
          <cell r="D9">
            <v>111</v>
          </cell>
          <cell r="E9">
            <v>64</v>
          </cell>
          <cell r="F9">
            <v>163</v>
          </cell>
          <cell r="G9">
            <v>383</v>
          </cell>
          <cell r="H9">
            <v>0</v>
          </cell>
          <cell r="I9">
            <v>721</v>
          </cell>
          <cell r="J9">
            <v>348</v>
          </cell>
          <cell r="K9">
            <v>373</v>
          </cell>
          <cell r="L9">
            <v>0</v>
          </cell>
          <cell r="M9">
            <v>721</v>
          </cell>
          <cell r="N9">
            <v>5</v>
          </cell>
          <cell r="O9">
            <v>17812.19</v>
          </cell>
          <cell r="P9">
            <v>57.1</v>
          </cell>
        </row>
        <row r="10">
          <cell r="A10">
            <v>655</v>
          </cell>
          <cell r="C10" t="str">
            <v>SEPTICEMIA &amp; DISSEMINATED INFECTIONS                                              </v>
          </cell>
          <cell r="D10">
            <v>4</v>
          </cell>
          <cell r="E10">
            <v>63</v>
          </cell>
          <cell r="F10">
            <v>160</v>
          </cell>
          <cell r="G10">
            <v>428</v>
          </cell>
          <cell r="H10">
            <v>0</v>
          </cell>
          <cell r="I10">
            <v>655</v>
          </cell>
          <cell r="J10">
            <v>303</v>
          </cell>
          <cell r="K10">
            <v>352</v>
          </cell>
          <cell r="L10">
            <v>0</v>
          </cell>
          <cell r="M10">
            <v>655</v>
          </cell>
          <cell r="N10">
            <v>8.7</v>
          </cell>
          <cell r="O10">
            <v>35098.8</v>
          </cell>
          <cell r="P10">
            <v>68.1</v>
          </cell>
        </row>
        <row r="11">
          <cell r="A11">
            <v>549</v>
          </cell>
          <cell r="C11" t="str">
            <v>HEART FAILURE                                                                     </v>
          </cell>
          <cell r="D11">
            <v>0</v>
          </cell>
          <cell r="E11">
            <v>29</v>
          </cell>
          <cell r="F11">
            <v>157</v>
          </cell>
          <cell r="G11">
            <v>363</v>
          </cell>
          <cell r="H11">
            <v>0</v>
          </cell>
          <cell r="I11">
            <v>549</v>
          </cell>
          <cell r="J11">
            <v>292</v>
          </cell>
          <cell r="K11">
            <v>257</v>
          </cell>
          <cell r="L11">
            <v>0</v>
          </cell>
          <cell r="M11">
            <v>549</v>
          </cell>
          <cell r="N11">
            <v>4.9</v>
          </cell>
          <cell r="O11">
            <v>17322.94</v>
          </cell>
          <cell r="P11">
            <v>71.4</v>
          </cell>
        </row>
        <row r="12">
          <cell r="A12">
            <v>493</v>
          </cell>
          <cell r="C12" t="str">
            <v>CHRONIC OBSTRUCTIVE PULMONARY DISEASE                                             </v>
          </cell>
          <cell r="D12">
            <v>0</v>
          </cell>
          <cell r="E12">
            <v>14</v>
          </cell>
          <cell r="F12">
            <v>193</v>
          </cell>
          <cell r="G12">
            <v>286</v>
          </cell>
          <cell r="H12">
            <v>0</v>
          </cell>
          <cell r="I12">
            <v>493</v>
          </cell>
          <cell r="J12">
            <v>194</v>
          </cell>
          <cell r="K12">
            <v>299</v>
          </cell>
          <cell r="L12">
            <v>0</v>
          </cell>
          <cell r="M12">
            <v>493</v>
          </cell>
          <cell r="N12">
            <v>4.5</v>
          </cell>
          <cell r="O12">
            <v>15750.45</v>
          </cell>
          <cell r="P12">
            <v>66.8</v>
          </cell>
        </row>
        <row r="13">
          <cell r="A13">
            <v>448</v>
          </cell>
          <cell r="C13" t="str">
            <v>PULMONARY EDEMA &amp; RESPIRATORY FAILURE                                             </v>
          </cell>
          <cell r="D13">
            <v>1</v>
          </cell>
          <cell r="E13">
            <v>39</v>
          </cell>
          <cell r="F13">
            <v>173</v>
          </cell>
          <cell r="G13">
            <v>235</v>
          </cell>
          <cell r="H13">
            <v>0</v>
          </cell>
          <cell r="I13">
            <v>448</v>
          </cell>
          <cell r="J13">
            <v>184</v>
          </cell>
          <cell r="K13">
            <v>264</v>
          </cell>
          <cell r="L13">
            <v>0</v>
          </cell>
          <cell r="M13">
            <v>448</v>
          </cell>
          <cell r="N13">
            <v>6.1</v>
          </cell>
          <cell r="O13">
            <v>25592.64</v>
          </cell>
          <cell r="P13">
            <v>63.9</v>
          </cell>
        </row>
        <row r="14">
          <cell r="A14">
            <v>377</v>
          </cell>
          <cell r="C14" t="str">
            <v>CARDIAC ARRHYTHMIA &amp; CONDUCTION DISORDERS                                         </v>
          </cell>
          <cell r="D14">
            <v>1</v>
          </cell>
          <cell r="E14">
            <v>21</v>
          </cell>
          <cell r="F14">
            <v>101</v>
          </cell>
          <cell r="G14">
            <v>254</v>
          </cell>
          <cell r="H14">
            <v>0</v>
          </cell>
          <cell r="I14">
            <v>377</v>
          </cell>
          <cell r="J14">
            <v>194</v>
          </cell>
          <cell r="K14">
            <v>183</v>
          </cell>
          <cell r="L14">
            <v>0</v>
          </cell>
          <cell r="M14">
            <v>377</v>
          </cell>
          <cell r="N14">
            <v>3.5</v>
          </cell>
          <cell r="O14">
            <v>14764.81</v>
          </cell>
          <cell r="P14">
            <v>69</v>
          </cell>
        </row>
        <row r="15">
          <cell r="A15">
            <v>343</v>
          </cell>
          <cell r="C15" t="str">
            <v>KNEE JOINT REPLACEMENT                                                            </v>
          </cell>
          <cell r="D15">
            <v>0</v>
          </cell>
          <cell r="E15">
            <v>13</v>
          </cell>
          <cell r="F15">
            <v>138</v>
          </cell>
          <cell r="G15">
            <v>192</v>
          </cell>
          <cell r="H15">
            <v>0</v>
          </cell>
          <cell r="I15">
            <v>343</v>
          </cell>
          <cell r="J15">
            <v>113</v>
          </cell>
          <cell r="K15">
            <v>230</v>
          </cell>
          <cell r="L15">
            <v>0</v>
          </cell>
          <cell r="M15">
            <v>343</v>
          </cell>
          <cell r="N15">
            <v>3.2</v>
          </cell>
          <cell r="O15">
            <v>34680.25</v>
          </cell>
          <cell r="P15">
            <v>65.6</v>
          </cell>
        </row>
        <row r="16">
          <cell r="A16">
            <v>326</v>
          </cell>
          <cell r="C16" t="str">
            <v>RENAL FAILURE                                                                     </v>
          </cell>
          <cell r="D16">
            <v>0</v>
          </cell>
          <cell r="E16">
            <v>45</v>
          </cell>
          <cell r="F16">
            <v>118</v>
          </cell>
          <cell r="G16">
            <v>163</v>
          </cell>
          <cell r="H16">
            <v>0</v>
          </cell>
          <cell r="I16">
            <v>326</v>
          </cell>
          <cell r="J16">
            <v>178</v>
          </cell>
          <cell r="K16">
            <v>148</v>
          </cell>
          <cell r="L16">
            <v>0</v>
          </cell>
          <cell r="M16">
            <v>326</v>
          </cell>
          <cell r="N16">
            <v>7</v>
          </cell>
          <cell r="O16">
            <v>24077.57</v>
          </cell>
          <cell r="P16">
            <v>64.2</v>
          </cell>
        </row>
        <row r="17">
          <cell r="A17">
            <v>307</v>
          </cell>
          <cell r="C17" t="str">
            <v>KIDNEY &amp; URINARY TRACT INFECTIONS                                                 </v>
          </cell>
          <cell r="D17">
            <v>35</v>
          </cell>
          <cell r="E17">
            <v>62</v>
          </cell>
          <cell r="F17">
            <v>56</v>
          </cell>
          <cell r="G17">
            <v>154</v>
          </cell>
          <cell r="H17">
            <v>0</v>
          </cell>
          <cell r="I17">
            <v>307</v>
          </cell>
          <cell r="J17">
            <v>58</v>
          </cell>
          <cell r="K17">
            <v>249</v>
          </cell>
          <cell r="L17">
            <v>0</v>
          </cell>
          <cell r="M17">
            <v>307</v>
          </cell>
          <cell r="N17">
            <v>4.8</v>
          </cell>
          <cell r="O17">
            <v>14959.11</v>
          </cell>
          <cell r="P17">
            <v>56.3</v>
          </cell>
        </row>
        <row r="18">
          <cell r="A18">
            <v>278</v>
          </cell>
          <cell r="C18" t="str">
            <v>CELLULITIS &amp; OTHER BACTERIAL SKIN INFECTIONS                                      </v>
          </cell>
          <cell r="D18">
            <v>19</v>
          </cell>
          <cell r="E18">
            <v>87</v>
          </cell>
          <cell r="F18">
            <v>96</v>
          </cell>
          <cell r="G18">
            <v>76</v>
          </cell>
          <cell r="H18">
            <v>0</v>
          </cell>
          <cell r="I18">
            <v>278</v>
          </cell>
          <cell r="J18">
            <v>148</v>
          </cell>
          <cell r="K18">
            <v>130</v>
          </cell>
          <cell r="L18">
            <v>0</v>
          </cell>
          <cell r="M18">
            <v>278</v>
          </cell>
          <cell r="N18">
            <v>4.2</v>
          </cell>
          <cell r="O18">
            <v>13199.93</v>
          </cell>
          <cell r="P18">
            <v>50.9</v>
          </cell>
        </row>
        <row r="19">
          <cell r="A19">
            <v>263</v>
          </cell>
          <cell r="C19" t="str">
            <v>CVA &amp; PRECEREBRAL OCCLUSION  W INFARCT                                            </v>
          </cell>
          <cell r="D19">
            <v>0</v>
          </cell>
          <cell r="E19">
            <v>19</v>
          </cell>
          <cell r="F19">
            <v>80</v>
          </cell>
          <cell r="G19">
            <v>164</v>
          </cell>
          <cell r="H19">
            <v>0</v>
          </cell>
          <cell r="I19">
            <v>263</v>
          </cell>
          <cell r="J19">
            <v>134</v>
          </cell>
          <cell r="K19">
            <v>129</v>
          </cell>
          <cell r="L19">
            <v>0</v>
          </cell>
          <cell r="M19">
            <v>263</v>
          </cell>
          <cell r="N19">
            <v>5.7</v>
          </cell>
          <cell r="O19">
            <v>23567.17</v>
          </cell>
          <cell r="P19">
            <v>68.2</v>
          </cell>
        </row>
        <row r="20">
          <cell r="A20">
            <v>241</v>
          </cell>
          <cell r="C20" t="str">
            <v>DIABETES                                                                          </v>
          </cell>
          <cell r="D20">
            <v>10</v>
          </cell>
          <cell r="E20">
            <v>98</v>
          </cell>
          <cell r="F20">
            <v>82</v>
          </cell>
          <cell r="G20">
            <v>51</v>
          </cell>
          <cell r="H20">
            <v>0</v>
          </cell>
          <cell r="I20">
            <v>241</v>
          </cell>
          <cell r="J20">
            <v>111</v>
          </cell>
          <cell r="K20">
            <v>130</v>
          </cell>
          <cell r="L20">
            <v>0</v>
          </cell>
          <cell r="M20">
            <v>241</v>
          </cell>
          <cell r="N20">
            <v>3.7</v>
          </cell>
          <cell r="O20">
            <v>13976.45</v>
          </cell>
          <cell r="P20">
            <v>46.9</v>
          </cell>
        </row>
        <row r="21">
          <cell r="A21">
            <v>230</v>
          </cell>
          <cell r="C21" t="str">
            <v>OTHER &amp; UNSPECIFIED GASTROINTESTINAL HEMORRHAGE                                   </v>
          </cell>
          <cell r="D21">
            <v>1</v>
          </cell>
          <cell r="E21">
            <v>13</v>
          </cell>
          <cell r="F21">
            <v>56</v>
          </cell>
          <cell r="G21">
            <v>160</v>
          </cell>
          <cell r="H21">
            <v>0</v>
          </cell>
          <cell r="I21">
            <v>230</v>
          </cell>
          <cell r="J21">
            <v>123</v>
          </cell>
          <cell r="K21">
            <v>107</v>
          </cell>
          <cell r="L21">
            <v>0</v>
          </cell>
          <cell r="M21">
            <v>230</v>
          </cell>
          <cell r="N21">
            <v>5.1</v>
          </cell>
          <cell r="O21">
            <v>21531.03</v>
          </cell>
          <cell r="P21">
            <v>70.9</v>
          </cell>
        </row>
        <row r="22">
          <cell r="A22">
            <v>229</v>
          </cell>
          <cell r="C22" t="str">
            <v>PERCUTANEOUS CARDIOVASCULAR PROCEDURES W/O AMI                                    </v>
          </cell>
          <cell r="D22">
            <v>0</v>
          </cell>
          <cell r="E22">
            <v>9</v>
          </cell>
          <cell r="F22">
            <v>104</v>
          </cell>
          <cell r="G22">
            <v>116</v>
          </cell>
          <cell r="H22">
            <v>0</v>
          </cell>
          <cell r="I22">
            <v>229</v>
          </cell>
          <cell r="J22">
            <v>146</v>
          </cell>
          <cell r="K22">
            <v>83</v>
          </cell>
          <cell r="L22">
            <v>0</v>
          </cell>
          <cell r="M22">
            <v>229</v>
          </cell>
          <cell r="N22">
            <v>2.2</v>
          </cell>
          <cell r="O22">
            <v>41431.47</v>
          </cell>
          <cell r="P22">
            <v>64.4</v>
          </cell>
        </row>
        <row r="23">
          <cell r="A23">
            <v>214</v>
          </cell>
          <cell r="C23" t="str">
            <v>ACUTE MYOCARDIAL INFARCTION                                                       </v>
          </cell>
          <cell r="D23">
            <v>0</v>
          </cell>
          <cell r="E23">
            <v>14</v>
          </cell>
          <cell r="F23">
            <v>57</v>
          </cell>
          <cell r="G23">
            <v>143</v>
          </cell>
          <cell r="H23">
            <v>0</v>
          </cell>
          <cell r="I23">
            <v>214</v>
          </cell>
          <cell r="J23">
            <v>105</v>
          </cell>
          <cell r="K23">
            <v>109</v>
          </cell>
          <cell r="L23">
            <v>0</v>
          </cell>
          <cell r="M23">
            <v>214</v>
          </cell>
          <cell r="N23">
            <v>4.7</v>
          </cell>
          <cell r="O23">
            <v>23539.14</v>
          </cell>
          <cell r="P23">
            <v>70.5</v>
          </cell>
        </row>
        <row r="24">
          <cell r="A24">
            <v>211</v>
          </cell>
          <cell r="C24" t="str">
            <v>ASTHMA                                                                            </v>
          </cell>
          <cell r="D24">
            <v>101</v>
          </cell>
          <cell r="E24">
            <v>54</v>
          </cell>
          <cell r="F24">
            <v>46</v>
          </cell>
          <cell r="G24">
            <v>10</v>
          </cell>
          <cell r="H24">
            <v>0</v>
          </cell>
          <cell r="I24">
            <v>211</v>
          </cell>
          <cell r="J24">
            <v>102</v>
          </cell>
          <cell r="K24">
            <v>109</v>
          </cell>
          <cell r="L24">
            <v>0</v>
          </cell>
          <cell r="M24">
            <v>211</v>
          </cell>
          <cell r="N24">
            <v>2.8</v>
          </cell>
          <cell r="O24">
            <v>8891.91</v>
          </cell>
          <cell r="P24">
            <v>26</v>
          </cell>
        </row>
        <row r="25">
          <cell r="A25">
            <v>205.001</v>
          </cell>
          <cell r="C25" t="str">
            <v>INTESTINAL OBSTRUCTION                                                            </v>
          </cell>
          <cell r="D25">
            <v>1</v>
          </cell>
          <cell r="E25">
            <v>27</v>
          </cell>
          <cell r="F25">
            <v>55</v>
          </cell>
          <cell r="G25">
            <v>122</v>
          </cell>
          <cell r="H25">
            <v>0</v>
          </cell>
          <cell r="I25">
            <v>205</v>
          </cell>
          <cell r="J25">
            <v>98</v>
          </cell>
          <cell r="K25">
            <v>107</v>
          </cell>
          <cell r="L25">
            <v>0</v>
          </cell>
          <cell r="M25">
            <v>205</v>
          </cell>
          <cell r="N25">
            <v>5.8</v>
          </cell>
          <cell r="O25">
            <v>17743.55</v>
          </cell>
          <cell r="P25">
            <v>65.8</v>
          </cell>
        </row>
        <row r="26">
          <cell r="A26">
            <v>205</v>
          </cell>
          <cell r="C26" t="str">
            <v>PERCUTANEOUS CARDIOVASCULAR PROCEDURES W AMI                                      </v>
          </cell>
          <cell r="D26">
            <v>0</v>
          </cell>
          <cell r="E26">
            <v>26</v>
          </cell>
          <cell r="F26">
            <v>98</v>
          </cell>
          <cell r="G26">
            <v>81</v>
          </cell>
          <cell r="H26">
            <v>0</v>
          </cell>
          <cell r="I26">
            <v>205</v>
          </cell>
          <cell r="J26">
            <v>138</v>
          </cell>
          <cell r="K26">
            <v>67</v>
          </cell>
          <cell r="L26">
            <v>0</v>
          </cell>
          <cell r="M26">
            <v>205</v>
          </cell>
          <cell r="N26">
            <v>3.2</v>
          </cell>
          <cell r="O26">
            <v>50931.42</v>
          </cell>
          <cell r="P26">
            <v>62.1</v>
          </cell>
        </row>
        <row r="27">
          <cell r="A27">
            <v>188</v>
          </cell>
          <cell r="C27" t="str">
            <v>NON-BACTERIAL GASTROENTERITIS, NAUSEA &amp; VOMITING                                  </v>
          </cell>
          <cell r="D27">
            <v>35</v>
          </cell>
          <cell r="E27">
            <v>38</v>
          </cell>
          <cell r="F27">
            <v>66</v>
          </cell>
          <cell r="G27">
            <v>49</v>
          </cell>
          <cell r="H27">
            <v>0</v>
          </cell>
          <cell r="I27">
            <v>188</v>
          </cell>
          <cell r="J27">
            <v>61</v>
          </cell>
          <cell r="K27">
            <v>127</v>
          </cell>
          <cell r="L27">
            <v>0</v>
          </cell>
          <cell r="M27">
            <v>188</v>
          </cell>
          <cell r="N27">
            <v>3</v>
          </cell>
          <cell r="O27">
            <v>12572.54</v>
          </cell>
          <cell r="P27">
            <v>46.8</v>
          </cell>
        </row>
        <row r="28">
          <cell r="A28">
            <v>180</v>
          </cell>
          <cell r="C28" t="str">
            <v>POISONING OF MEDICINAL AGENTS                                                     </v>
          </cell>
          <cell r="D28">
            <v>6</v>
          </cell>
          <cell r="E28">
            <v>103</v>
          </cell>
          <cell r="F28">
            <v>51</v>
          </cell>
          <cell r="G28">
            <v>20</v>
          </cell>
          <cell r="H28">
            <v>0</v>
          </cell>
          <cell r="I28">
            <v>180</v>
          </cell>
          <cell r="J28">
            <v>78</v>
          </cell>
          <cell r="K28">
            <v>102</v>
          </cell>
          <cell r="L28">
            <v>0</v>
          </cell>
          <cell r="M28">
            <v>180</v>
          </cell>
          <cell r="N28">
            <v>3</v>
          </cell>
          <cell r="O28">
            <v>13530.6</v>
          </cell>
          <cell r="P28">
            <v>41.9</v>
          </cell>
        </row>
        <row r="29">
          <cell r="A29">
            <v>168</v>
          </cell>
          <cell r="C29" t="str">
            <v>MAJOR SMALL &amp; LARGE BOWEL PROCEDURES                                              </v>
          </cell>
          <cell r="D29">
            <v>0</v>
          </cell>
          <cell r="E29">
            <v>20</v>
          </cell>
          <cell r="F29">
            <v>61</v>
          </cell>
          <cell r="G29">
            <v>87</v>
          </cell>
          <cell r="H29">
            <v>0</v>
          </cell>
          <cell r="I29">
            <v>168</v>
          </cell>
          <cell r="J29">
            <v>77</v>
          </cell>
          <cell r="K29">
            <v>91</v>
          </cell>
          <cell r="L29">
            <v>0</v>
          </cell>
          <cell r="M29">
            <v>168</v>
          </cell>
          <cell r="N29">
            <v>9.4</v>
          </cell>
          <cell r="O29">
            <v>46825.5</v>
          </cell>
          <cell r="P29">
            <v>63.7</v>
          </cell>
        </row>
        <row r="30">
          <cell r="A30">
            <v>167</v>
          </cell>
          <cell r="C30" t="str">
            <v>HIP JOINT REPLACEMENT                                                             </v>
          </cell>
          <cell r="D30">
            <v>0</v>
          </cell>
          <cell r="E30">
            <v>5</v>
          </cell>
          <cell r="F30">
            <v>47</v>
          </cell>
          <cell r="G30">
            <v>115</v>
          </cell>
          <cell r="H30">
            <v>0</v>
          </cell>
          <cell r="I30">
            <v>167</v>
          </cell>
          <cell r="J30">
            <v>72</v>
          </cell>
          <cell r="K30">
            <v>95</v>
          </cell>
          <cell r="L30">
            <v>0</v>
          </cell>
          <cell r="M30">
            <v>167</v>
          </cell>
          <cell r="N30">
            <v>4.4</v>
          </cell>
          <cell r="O30">
            <v>40234.15</v>
          </cell>
          <cell r="P30">
            <v>70.4</v>
          </cell>
        </row>
        <row r="31">
          <cell r="A31">
            <v>166</v>
          </cell>
          <cell r="C31" t="str">
            <v>UTERINE &amp; ADNEXA PROCEDURES FOR NON-MALIGNANCY EXCEPT LEIOMYOMA                   </v>
          </cell>
          <cell r="D31">
            <v>3</v>
          </cell>
          <cell r="E31">
            <v>89</v>
          </cell>
          <cell r="F31">
            <v>60</v>
          </cell>
          <cell r="G31">
            <v>14</v>
          </cell>
          <cell r="H31">
            <v>0</v>
          </cell>
          <cell r="I31">
            <v>166</v>
          </cell>
          <cell r="J31">
            <v>0</v>
          </cell>
          <cell r="K31">
            <v>166</v>
          </cell>
          <cell r="L31">
            <v>0</v>
          </cell>
          <cell r="M31">
            <v>166</v>
          </cell>
          <cell r="N31">
            <v>2.4</v>
          </cell>
          <cell r="O31">
            <v>18317.55</v>
          </cell>
          <cell r="P31">
            <v>44.2</v>
          </cell>
        </row>
        <row r="32">
          <cell r="A32">
            <v>152</v>
          </cell>
          <cell r="C32" t="str">
            <v>APPENDECTOMY                                                                      </v>
          </cell>
          <cell r="D32">
            <v>34</v>
          </cell>
          <cell r="E32">
            <v>74</v>
          </cell>
          <cell r="F32">
            <v>33</v>
          </cell>
          <cell r="G32">
            <v>11</v>
          </cell>
          <cell r="H32">
            <v>0</v>
          </cell>
          <cell r="I32">
            <v>152</v>
          </cell>
          <cell r="J32">
            <v>78</v>
          </cell>
          <cell r="K32">
            <v>74</v>
          </cell>
          <cell r="L32">
            <v>0</v>
          </cell>
          <cell r="M32">
            <v>152</v>
          </cell>
          <cell r="N32">
            <v>2.5</v>
          </cell>
          <cell r="O32">
            <v>18272.32</v>
          </cell>
          <cell r="P32">
            <v>34</v>
          </cell>
        </row>
        <row r="33">
          <cell r="A33">
            <v>145</v>
          </cell>
          <cell r="C33" t="str">
            <v>DISORDERS OF PANCREAS EXCEPT MALIGNANCY                                           </v>
          </cell>
          <cell r="D33">
            <v>0</v>
          </cell>
          <cell r="E33">
            <v>50</v>
          </cell>
          <cell r="F33">
            <v>63</v>
          </cell>
          <cell r="G33">
            <v>32</v>
          </cell>
          <cell r="H33">
            <v>0</v>
          </cell>
          <cell r="I33">
            <v>145</v>
          </cell>
          <cell r="J33">
            <v>79</v>
          </cell>
          <cell r="K33">
            <v>66</v>
          </cell>
          <cell r="L33">
            <v>0</v>
          </cell>
          <cell r="M33">
            <v>145</v>
          </cell>
          <cell r="N33">
            <v>4.4</v>
          </cell>
          <cell r="O33">
            <v>18447.24</v>
          </cell>
          <cell r="P33">
            <v>52.3</v>
          </cell>
        </row>
        <row r="34">
          <cell r="A34">
            <v>143</v>
          </cell>
          <cell r="C34" t="str">
            <v>PERIPHERAL &amp; OTHER VASCULAR DISORDERS                                             </v>
          </cell>
          <cell r="D34">
            <v>0</v>
          </cell>
          <cell r="E34">
            <v>27</v>
          </cell>
          <cell r="F34">
            <v>46</v>
          </cell>
          <cell r="G34">
            <v>70</v>
          </cell>
          <cell r="H34">
            <v>0</v>
          </cell>
          <cell r="I34">
            <v>143</v>
          </cell>
          <cell r="J34">
            <v>68</v>
          </cell>
          <cell r="K34">
            <v>75</v>
          </cell>
          <cell r="L34">
            <v>0</v>
          </cell>
          <cell r="M34">
            <v>143</v>
          </cell>
          <cell r="N34">
            <v>5.5</v>
          </cell>
          <cell r="O34">
            <v>16977.66</v>
          </cell>
          <cell r="P34">
            <v>62.3</v>
          </cell>
        </row>
        <row r="35">
          <cell r="A35">
            <v>139</v>
          </cell>
          <cell r="C35" t="str">
            <v>HYPOVOLEMIA &amp; RELATED ELECTROLYTE DISORDERS                                       </v>
          </cell>
          <cell r="D35">
            <v>30</v>
          </cell>
          <cell r="E35">
            <v>15</v>
          </cell>
          <cell r="F35">
            <v>32</v>
          </cell>
          <cell r="G35">
            <v>62</v>
          </cell>
          <cell r="H35">
            <v>0</v>
          </cell>
          <cell r="I35">
            <v>139</v>
          </cell>
          <cell r="J35">
            <v>55</v>
          </cell>
          <cell r="K35">
            <v>84</v>
          </cell>
          <cell r="L35">
            <v>0</v>
          </cell>
          <cell r="M35">
            <v>139</v>
          </cell>
          <cell r="N35">
            <v>3.5</v>
          </cell>
          <cell r="O35">
            <v>11578.05</v>
          </cell>
          <cell r="P35">
            <v>51.8</v>
          </cell>
        </row>
        <row r="36">
          <cell r="A36">
            <v>137</v>
          </cell>
          <cell r="C36" t="str">
            <v>LAPAROSCOPIC CHOLECYSTECTOMY                                                      </v>
          </cell>
          <cell r="D36">
            <v>0</v>
          </cell>
          <cell r="E36">
            <v>55</v>
          </cell>
          <cell r="F36">
            <v>46</v>
          </cell>
          <cell r="G36">
            <v>36</v>
          </cell>
          <cell r="H36">
            <v>0</v>
          </cell>
          <cell r="I36">
            <v>137</v>
          </cell>
          <cell r="J36">
            <v>53</v>
          </cell>
          <cell r="K36">
            <v>84</v>
          </cell>
          <cell r="L36">
            <v>0</v>
          </cell>
          <cell r="M36">
            <v>137</v>
          </cell>
          <cell r="N36">
            <v>4.6</v>
          </cell>
          <cell r="O36">
            <v>26434.89</v>
          </cell>
          <cell r="P36">
            <v>50.9</v>
          </cell>
        </row>
        <row r="37">
          <cell r="A37">
            <v>136</v>
          </cell>
          <cell r="C37" t="str">
            <v>ELECTROLYTE DISORDERS EXCEPT HYPOVOLEMIA RELATED                                  </v>
          </cell>
          <cell r="D37">
            <v>3</v>
          </cell>
          <cell r="E37">
            <v>28</v>
          </cell>
          <cell r="F37">
            <v>47</v>
          </cell>
          <cell r="G37">
            <v>58</v>
          </cell>
          <cell r="H37">
            <v>0</v>
          </cell>
          <cell r="I37">
            <v>136</v>
          </cell>
          <cell r="J37">
            <v>61</v>
          </cell>
          <cell r="K37">
            <v>75</v>
          </cell>
          <cell r="L37">
            <v>0</v>
          </cell>
          <cell r="M37">
            <v>136</v>
          </cell>
          <cell r="N37">
            <v>4.1</v>
          </cell>
          <cell r="O37">
            <v>14818.84</v>
          </cell>
          <cell r="P37">
            <v>60.1</v>
          </cell>
        </row>
        <row r="38">
          <cell r="A38">
            <v>132</v>
          </cell>
          <cell r="C38" t="str">
            <v>SYNCOPE &amp; COLLAPSE                                                                </v>
          </cell>
          <cell r="D38">
            <v>0</v>
          </cell>
          <cell r="E38">
            <v>9</v>
          </cell>
          <cell r="F38">
            <v>32</v>
          </cell>
          <cell r="G38">
            <v>91</v>
          </cell>
          <cell r="H38">
            <v>0</v>
          </cell>
          <cell r="I38">
            <v>132</v>
          </cell>
          <cell r="J38">
            <v>57</v>
          </cell>
          <cell r="K38">
            <v>75</v>
          </cell>
          <cell r="L38">
            <v>0</v>
          </cell>
          <cell r="M38">
            <v>132</v>
          </cell>
          <cell r="N38">
            <v>3</v>
          </cell>
          <cell r="O38">
            <v>14239.26</v>
          </cell>
          <cell r="P38">
            <v>70.4</v>
          </cell>
        </row>
        <row r="39">
          <cell r="A39">
            <v>127</v>
          </cell>
          <cell r="C39" t="str">
            <v>MAJOR RESPIRATORY INFECTIONS &amp; INFLAMMATIONS                                      </v>
          </cell>
          <cell r="D39">
            <v>6</v>
          </cell>
          <cell r="E39">
            <v>9</v>
          </cell>
          <cell r="F39">
            <v>14</v>
          </cell>
          <cell r="G39">
            <v>98</v>
          </cell>
          <cell r="H39">
            <v>0</v>
          </cell>
          <cell r="I39">
            <v>127</v>
          </cell>
          <cell r="J39">
            <v>58</v>
          </cell>
          <cell r="K39">
            <v>69</v>
          </cell>
          <cell r="L39">
            <v>0</v>
          </cell>
          <cell r="M39">
            <v>127</v>
          </cell>
          <cell r="N39">
            <v>8.2</v>
          </cell>
          <cell r="O39">
            <v>29854.32</v>
          </cell>
          <cell r="P39">
            <v>70.6</v>
          </cell>
        </row>
        <row r="40">
          <cell r="A40">
            <v>123</v>
          </cell>
          <cell r="C40" t="str">
            <v>ANGINA PECTORIS &amp; CORONARY ATHEROSCLEROSIS                                        </v>
          </cell>
          <cell r="D40">
            <v>0</v>
          </cell>
          <cell r="E40">
            <v>12</v>
          </cell>
          <cell r="F40">
            <v>59</v>
          </cell>
          <cell r="G40">
            <v>52</v>
          </cell>
          <cell r="H40">
            <v>0</v>
          </cell>
          <cell r="I40">
            <v>123</v>
          </cell>
          <cell r="J40">
            <v>58</v>
          </cell>
          <cell r="K40">
            <v>65</v>
          </cell>
          <cell r="L40">
            <v>0</v>
          </cell>
          <cell r="M40">
            <v>123</v>
          </cell>
          <cell r="N40">
            <v>2.4</v>
          </cell>
          <cell r="O40">
            <v>12358.51</v>
          </cell>
          <cell r="P40">
            <v>62.8</v>
          </cell>
        </row>
        <row r="41">
          <cell r="A41">
            <v>122</v>
          </cell>
          <cell r="C41" t="str">
            <v>PULMONARY EMBOLISM                                                                </v>
          </cell>
          <cell r="D41">
            <v>0</v>
          </cell>
          <cell r="E41">
            <v>29</v>
          </cell>
          <cell r="F41">
            <v>40</v>
          </cell>
          <cell r="G41">
            <v>53</v>
          </cell>
          <cell r="H41">
            <v>0</v>
          </cell>
          <cell r="I41">
            <v>122</v>
          </cell>
          <cell r="J41">
            <v>55</v>
          </cell>
          <cell r="K41">
            <v>67</v>
          </cell>
          <cell r="L41">
            <v>0</v>
          </cell>
          <cell r="M41">
            <v>122</v>
          </cell>
          <cell r="N41">
            <v>6.2</v>
          </cell>
          <cell r="O41">
            <v>25807.69</v>
          </cell>
          <cell r="P41">
            <v>58.2</v>
          </cell>
        </row>
        <row r="42">
          <cell r="A42">
            <v>119</v>
          </cell>
          <cell r="C42" t="str">
            <v>DIVERTICULITIS &amp; DIVERTICULOSIS                                                   </v>
          </cell>
          <cell r="D42">
            <v>0</v>
          </cell>
          <cell r="E42">
            <v>22</v>
          </cell>
          <cell r="F42">
            <v>39</v>
          </cell>
          <cell r="G42">
            <v>58</v>
          </cell>
          <cell r="H42">
            <v>0</v>
          </cell>
          <cell r="I42">
            <v>119</v>
          </cell>
          <cell r="J42">
            <v>44</v>
          </cell>
          <cell r="K42">
            <v>75</v>
          </cell>
          <cell r="L42">
            <v>0</v>
          </cell>
          <cell r="M42">
            <v>119</v>
          </cell>
          <cell r="N42">
            <v>4.2</v>
          </cell>
          <cell r="O42">
            <v>16295.12</v>
          </cell>
          <cell r="P42">
            <v>62.3</v>
          </cell>
        </row>
        <row r="43">
          <cell r="A43">
            <v>116</v>
          </cell>
          <cell r="C43" t="str">
            <v>OTHER ANTEPARTUM DIAGNOSES                                                        </v>
          </cell>
          <cell r="D43">
            <v>1</v>
          </cell>
          <cell r="E43">
            <v>115</v>
          </cell>
          <cell r="F43">
            <v>0</v>
          </cell>
          <cell r="G43">
            <v>0</v>
          </cell>
          <cell r="H43">
            <v>0</v>
          </cell>
          <cell r="I43">
            <v>116</v>
          </cell>
          <cell r="J43">
            <v>0</v>
          </cell>
          <cell r="K43">
            <v>116</v>
          </cell>
          <cell r="L43">
            <v>0</v>
          </cell>
          <cell r="M43">
            <v>116</v>
          </cell>
          <cell r="N43">
            <v>2.9</v>
          </cell>
          <cell r="O43">
            <v>6503.89</v>
          </cell>
          <cell r="P43">
            <v>26.8</v>
          </cell>
        </row>
        <row r="44">
          <cell r="A44">
            <v>113</v>
          </cell>
          <cell r="C44" t="str">
            <v>PEPTIC ULCER &amp; GASTRITIS                                                          </v>
          </cell>
          <cell r="D44">
            <v>2</v>
          </cell>
          <cell r="E44">
            <v>24</v>
          </cell>
          <cell r="F44">
            <v>33</v>
          </cell>
          <cell r="G44">
            <v>54</v>
          </cell>
          <cell r="H44">
            <v>0</v>
          </cell>
          <cell r="I44">
            <v>113</v>
          </cell>
          <cell r="J44">
            <v>49</v>
          </cell>
          <cell r="K44">
            <v>64</v>
          </cell>
          <cell r="L44">
            <v>0</v>
          </cell>
          <cell r="M44">
            <v>113</v>
          </cell>
          <cell r="N44">
            <v>4.1</v>
          </cell>
          <cell r="O44">
            <v>19435.26</v>
          </cell>
          <cell r="P44">
            <v>59.7</v>
          </cell>
        </row>
        <row r="45">
          <cell r="A45">
            <v>106</v>
          </cell>
          <cell r="C45" t="str">
            <v>OTHER ANEMIA &amp; DISORDERS OF BLOOD &amp; BLOOD-FORMING ORGANS                          </v>
          </cell>
          <cell r="D45">
            <v>4</v>
          </cell>
          <cell r="E45">
            <v>20</v>
          </cell>
          <cell r="F45">
            <v>28</v>
          </cell>
          <cell r="G45">
            <v>54</v>
          </cell>
          <cell r="H45">
            <v>0</v>
          </cell>
          <cell r="I45">
            <v>106</v>
          </cell>
          <cell r="J45">
            <v>34</v>
          </cell>
          <cell r="K45">
            <v>72</v>
          </cell>
          <cell r="L45">
            <v>0</v>
          </cell>
          <cell r="M45">
            <v>106</v>
          </cell>
          <cell r="N45">
            <v>3.5</v>
          </cell>
          <cell r="O45">
            <v>15063.09</v>
          </cell>
          <cell r="P45">
            <v>59.2</v>
          </cell>
        </row>
        <row r="46">
          <cell r="A46">
            <v>104</v>
          </cell>
          <cell r="C46" t="str">
            <v>SEIZURE                                                                           </v>
          </cell>
          <cell r="D46">
            <v>3</v>
          </cell>
          <cell r="E46">
            <v>34</v>
          </cell>
          <cell r="F46">
            <v>38</v>
          </cell>
          <cell r="G46">
            <v>29</v>
          </cell>
          <cell r="H46">
            <v>0</v>
          </cell>
          <cell r="I46">
            <v>104</v>
          </cell>
          <cell r="J46">
            <v>50</v>
          </cell>
          <cell r="K46">
            <v>54</v>
          </cell>
          <cell r="L46">
            <v>0</v>
          </cell>
          <cell r="M46">
            <v>104</v>
          </cell>
          <cell r="N46">
            <v>3.2</v>
          </cell>
          <cell r="O46">
            <v>15788.39</v>
          </cell>
          <cell r="P46">
            <v>52.1</v>
          </cell>
        </row>
        <row r="47">
          <cell r="A47">
            <v>103</v>
          </cell>
          <cell r="C47" t="str">
            <v>OTHER DIGESTIVE SYSTEM DIAGNOSES                                                  </v>
          </cell>
          <cell r="D47">
            <v>4</v>
          </cell>
          <cell r="E47">
            <v>18</v>
          </cell>
          <cell r="F47">
            <v>32</v>
          </cell>
          <cell r="G47">
            <v>49</v>
          </cell>
          <cell r="H47">
            <v>0</v>
          </cell>
          <cell r="I47">
            <v>103</v>
          </cell>
          <cell r="J47">
            <v>44</v>
          </cell>
          <cell r="K47">
            <v>59</v>
          </cell>
          <cell r="L47">
            <v>0</v>
          </cell>
          <cell r="M47">
            <v>103</v>
          </cell>
          <cell r="N47">
            <v>4.5</v>
          </cell>
          <cell r="O47">
            <v>18346.02</v>
          </cell>
          <cell r="P47">
            <v>59.9</v>
          </cell>
        </row>
        <row r="48">
          <cell r="A48">
            <v>100</v>
          </cell>
          <cell r="C48" t="str">
            <v>OTHER MUSCULOSKELETAL SYSTEM &amp; CONNECTIVE TISSUE DIAGNOSES                        </v>
          </cell>
          <cell r="D48">
            <v>0</v>
          </cell>
          <cell r="E48">
            <v>21</v>
          </cell>
          <cell r="F48">
            <v>25</v>
          </cell>
          <cell r="G48">
            <v>54</v>
          </cell>
          <cell r="H48">
            <v>0</v>
          </cell>
          <cell r="I48">
            <v>100</v>
          </cell>
          <cell r="J48">
            <v>55</v>
          </cell>
          <cell r="K48">
            <v>45</v>
          </cell>
          <cell r="L48">
            <v>0</v>
          </cell>
          <cell r="M48">
            <v>100</v>
          </cell>
          <cell r="N48">
            <v>4.2</v>
          </cell>
          <cell r="O48">
            <v>14557.16</v>
          </cell>
          <cell r="P48">
            <v>63</v>
          </cell>
        </row>
        <row r="49">
          <cell r="A49">
            <v>98</v>
          </cell>
          <cell r="C49" t="str">
            <v>MAJOR GASTROINTESTINAL &amp; PERITONEAL INFECTIONS                                    </v>
          </cell>
          <cell r="D49">
            <v>2</v>
          </cell>
          <cell r="E49">
            <v>20</v>
          </cell>
          <cell r="F49">
            <v>19</v>
          </cell>
          <cell r="G49">
            <v>57</v>
          </cell>
          <cell r="H49">
            <v>0</v>
          </cell>
          <cell r="I49">
            <v>98</v>
          </cell>
          <cell r="J49">
            <v>45</v>
          </cell>
          <cell r="K49">
            <v>53</v>
          </cell>
          <cell r="L49">
            <v>0</v>
          </cell>
          <cell r="M49">
            <v>98</v>
          </cell>
          <cell r="N49">
            <v>7.8</v>
          </cell>
          <cell r="O49">
            <v>24807.99</v>
          </cell>
          <cell r="P49">
            <v>63.1</v>
          </cell>
        </row>
        <row r="50">
          <cell r="A50">
            <v>95</v>
          </cell>
          <cell r="C50" t="str">
            <v>CHEST PAIN                                                                        </v>
          </cell>
          <cell r="D50">
            <v>0</v>
          </cell>
          <cell r="E50">
            <v>19</v>
          </cell>
          <cell r="F50">
            <v>40</v>
          </cell>
          <cell r="G50">
            <v>36</v>
          </cell>
          <cell r="H50">
            <v>0</v>
          </cell>
          <cell r="I50">
            <v>95</v>
          </cell>
          <cell r="J50">
            <v>31</v>
          </cell>
          <cell r="K50">
            <v>64</v>
          </cell>
          <cell r="L50">
            <v>0</v>
          </cell>
          <cell r="M50">
            <v>95</v>
          </cell>
          <cell r="N50">
            <v>2.4</v>
          </cell>
          <cell r="O50">
            <v>11558.26</v>
          </cell>
          <cell r="P50">
            <v>58.6</v>
          </cell>
        </row>
        <row r="51">
          <cell r="A51">
            <v>93</v>
          </cell>
          <cell r="C51" t="str">
            <v>TRANSIENT ISCHEMIA                                                                </v>
          </cell>
          <cell r="D51">
            <v>0</v>
          </cell>
          <cell r="E51">
            <v>6</v>
          </cell>
          <cell r="F51">
            <v>33</v>
          </cell>
          <cell r="G51">
            <v>54</v>
          </cell>
          <cell r="H51">
            <v>0</v>
          </cell>
          <cell r="I51">
            <v>93</v>
          </cell>
          <cell r="J51">
            <v>38</v>
          </cell>
          <cell r="K51">
            <v>55</v>
          </cell>
          <cell r="L51">
            <v>0</v>
          </cell>
          <cell r="M51">
            <v>93</v>
          </cell>
          <cell r="N51">
            <v>2.7</v>
          </cell>
          <cell r="O51">
            <v>15349.08</v>
          </cell>
          <cell r="P51">
            <v>68.4</v>
          </cell>
        </row>
        <row r="52">
          <cell r="A52">
            <v>89.001</v>
          </cell>
          <cell r="C52" t="str">
            <v>KNEE &amp; LOWER LEG PROCEDURES EXCEPT FOOT                                           </v>
          </cell>
          <cell r="D52">
            <v>3</v>
          </cell>
          <cell r="E52">
            <v>23</v>
          </cell>
          <cell r="F52">
            <v>39</v>
          </cell>
          <cell r="G52">
            <v>24</v>
          </cell>
          <cell r="H52">
            <v>0</v>
          </cell>
          <cell r="I52">
            <v>89</v>
          </cell>
          <cell r="J52">
            <v>38</v>
          </cell>
          <cell r="K52">
            <v>51</v>
          </cell>
          <cell r="L52">
            <v>0</v>
          </cell>
          <cell r="M52">
            <v>89</v>
          </cell>
          <cell r="N52">
            <v>3.9</v>
          </cell>
          <cell r="O52">
            <v>26990.71</v>
          </cell>
          <cell r="P52">
            <v>50.9</v>
          </cell>
        </row>
        <row r="53">
          <cell r="A53">
            <v>89</v>
          </cell>
          <cell r="C53" t="str">
            <v>HIP &amp; FEMUR PROCEDURES FOR TRAUMA EXCEPT JOINT REPLACEMENT                        </v>
          </cell>
          <cell r="D53">
            <v>1</v>
          </cell>
          <cell r="E53">
            <v>6</v>
          </cell>
          <cell r="F53">
            <v>8</v>
          </cell>
          <cell r="G53">
            <v>74</v>
          </cell>
          <cell r="H53">
            <v>0</v>
          </cell>
          <cell r="I53">
            <v>89</v>
          </cell>
          <cell r="J53">
            <v>28</v>
          </cell>
          <cell r="K53">
            <v>61</v>
          </cell>
          <cell r="L53">
            <v>0</v>
          </cell>
          <cell r="M53">
            <v>89</v>
          </cell>
          <cell r="N53">
            <v>7</v>
          </cell>
          <cell r="O53">
            <v>39201.36</v>
          </cell>
          <cell r="P53">
            <v>74.6</v>
          </cell>
        </row>
        <row r="54">
          <cell r="A54">
            <v>87.001</v>
          </cell>
          <cell r="C54" t="str">
            <v>POST-OPERATIVE, POST-TRAUMATIC, OTHER DEVICE INFECTIONS                           </v>
          </cell>
          <cell r="D54">
            <v>1</v>
          </cell>
          <cell r="E54">
            <v>16</v>
          </cell>
          <cell r="F54">
            <v>33</v>
          </cell>
          <cell r="G54">
            <v>37</v>
          </cell>
          <cell r="H54">
            <v>0</v>
          </cell>
          <cell r="I54">
            <v>87</v>
          </cell>
          <cell r="J54">
            <v>37</v>
          </cell>
          <cell r="K54">
            <v>50</v>
          </cell>
          <cell r="L54">
            <v>0</v>
          </cell>
          <cell r="M54">
            <v>87</v>
          </cell>
          <cell r="N54">
            <v>6</v>
          </cell>
          <cell r="O54">
            <v>23861.05</v>
          </cell>
          <cell r="P54">
            <v>59.4</v>
          </cell>
        </row>
        <row r="55">
          <cell r="A55">
            <v>87</v>
          </cell>
          <cell r="C55" t="str">
            <v>PERM CARDIAC PACEMAKER IMPLANT W/O AMI, HEART FAILURE OR SHOCK                    </v>
          </cell>
          <cell r="D55">
            <v>0</v>
          </cell>
          <cell r="E55">
            <v>0</v>
          </cell>
          <cell r="F55">
            <v>12</v>
          </cell>
          <cell r="G55">
            <v>75</v>
          </cell>
          <cell r="H55">
            <v>0</v>
          </cell>
          <cell r="I55">
            <v>87</v>
          </cell>
          <cell r="J55">
            <v>42</v>
          </cell>
          <cell r="K55">
            <v>45</v>
          </cell>
          <cell r="L55">
            <v>0</v>
          </cell>
          <cell r="M55">
            <v>87</v>
          </cell>
          <cell r="N55">
            <v>3.7</v>
          </cell>
          <cell r="O55">
            <v>36691.54</v>
          </cell>
          <cell r="P55">
            <v>76.6</v>
          </cell>
        </row>
        <row r="56">
          <cell r="A56">
            <v>85</v>
          </cell>
          <cell r="C56" t="str">
            <v>SICKLE CELL ANEMIA CRISIS                                                         </v>
          </cell>
          <cell r="D56">
            <v>6</v>
          </cell>
          <cell r="E56">
            <v>74</v>
          </cell>
          <cell r="F56">
            <v>5</v>
          </cell>
          <cell r="G56">
            <v>0</v>
          </cell>
          <cell r="H56">
            <v>0</v>
          </cell>
          <cell r="I56">
            <v>85</v>
          </cell>
          <cell r="J56">
            <v>24</v>
          </cell>
          <cell r="K56">
            <v>61</v>
          </cell>
          <cell r="L56">
            <v>0</v>
          </cell>
          <cell r="M56">
            <v>85</v>
          </cell>
          <cell r="N56">
            <v>5.2</v>
          </cell>
          <cell r="O56">
            <v>13051.28</v>
          </cell>
          <cell r="P56">
            <v>28.9</v>
          </cell>
        </row>
        <row r="57">
          <cell r="A57">
            <v>83</v>
          </cell>
          <cell r="C57" t="str">
            <v>UTERINE &amp; ADNEXA PROCEDURES FOR LEIOMYOMA                                         </v>
          </cell>
          <cell r="D57">
            <v>0</v>
          </cell>
          <cell r="E57">
            <v>39</v>
          </cell>
          <cell r="F57">
            <v>43</v>
          </cell>
          <cell r="G57">
            <v>1</v>
          </cell>
          <cell r="H57">
            <v>0</v>
          </cell>
          <cell r="I57">
            <v>83</v>
          </cell>
          <cell r="J57">
            <v>0</v>
          </cell>
          <cell r="K57">
            <v>83</v>
          </cell>
          <cell r="L57">
            <v>0</v>
          </cell>
          <cell r="M57">
            <v>83</v>
          </cell>
          <cell r="N57">
            <v>2.5</v>
          </cell>
          <cell r="O57">
            <v>18370.61</v>
          </cell>
          <cell r="P57">
            <v>44.5</v>
          </cell>
        </row>
        <row r="58">
          <cell r="A58">
            <v>81</v>
          </cell>
          <cell r="C58" t="str">
            <v>OTHER RESPIRATORY DIAGNOSES EXCEPT SIGNS, SYMPTOMS &amp; MINOR DIAGNOSES              </v>
          </cell>
          <cell r="D58">
            <v>3</v>
          </cell>
          <cell r="E58">
            <v>13</v>
          </cell>
          <cell r="F58">
            <v>21</v>
          </cell>
          <cell r="G58">
            <v>44</v>
          </cell>
          <cell r="H58">
            <v>0</v>
          </cell>
          <cell r="I58">
            <v>81</v>
          </cell>
          <cell r="J58">
            <v>41</v>
          </cell>
          <cell r="K58">
            <v>40</v>
          </cell>
          <cell r="L58">
            <v>0</v>
          </cell>
          <cell r="M58">
            <v>81</v>
          </cell>
          <cell r="N58">
            <v>5.3</v>
          </cell>
          <cell r="O58">
            <v>18861.36</v>
          </cell>
          <cell r="P58">
            <v>62.1</v>
          </cell>
        </row>
        <row r="59">
          <cell r="A59">
            <v>80</v>
          </cell>
          <cell r="C59" t="str">
            <v>OTHER BACK &amp; NECK DISORDERS, FRACTURES &amp; INJURIES                                 </v>
          </cell>
          <cell r="D59">
            <v>0</v>
          </cell>
          <cell r="E59">
            <v>9</v>
          </cell>
          <cell r="F59">
            <v>16</v>
          </cell>
          <cell r="G59">
            <v>55</v>
          </cell>
          <cell r="H59">
            <v>0</v>
          </cell>
          <cell r="I59">
            <v>80</v>
          </cell>
          <cell r="J59">
            <v>35</v>
          </cell>
          <cell r="K59">
            <v>45</v>
          </cell>
          <cell r="L59">
            <v>0</v>
          </cell>
          <cell r="M59">
            <v>80</v>
          </cell>
          <cell r="N59">
            <v>4.3</v>
          </cell>
          <cell r="O59">
            <v>15879.83</v>
          </cell>
          <cell r="P59">
            <v>70.2</v>
          </cell>
        </row>
        <row r="60">
          <cell r="A60">
            <v>75</v>
          </cell>
          <cell r="C60" t="str">
            <v>HYPERTENSION                                                                      </v>
          </cell>
          <cell r="D60">
            <v>0</v>
          </cell>
          <cell r="E60">
            <v>21</v>
          </cell>
          <cell r="F60">
            <v>29</v>
          </cell>
          <cell r="G60">
            <v>25</v>
          </cell>
          <cell r="H60">
            <v>0</v>
          </cell>
          <cell r="I60">
            <v>75</v>
          </cell>
          <cell r="J60">
            <v>35</v>
          </cell>
          <cell r="K60">
            <v>40</v>
          </cell>
          <cell r="L60">
            <v>0</v>
          </cell>
          <cell r="M60">
            <v>75</v>
          </cell>
          <cell r="N60">
            <v>2.7</v>
          </cell>
          <cell r="O60">
            <v>12700.26</v>
          </cell>
          <cell r="P60">
            <v>56.3</v>
          </cell>
        </row>
        <row r="61">
          <cell r="A61">
            <v>74</v>
          </cell>
          <cell r="C61" t="str">
            <v>SHOULDER, UPPER ARM  &amp; FOREARM PROCEDURES                                         </v>
          </cell>
          <cell r="D61">
            <v>3</v>
          </cell>
          <cell r="E61">
            <v>9</v>
          </cell>
          <cell r="F61">
            <v>21</v>
          </cell>
          <cell r="G61">
            <v>41</v>
          </cell>
          <cell r="H61">
            <v>0</v>
          </cell>
          <cell r="I61">
            <v>74</v>
          </cell>
          <cell r="J61">
            <v>26</v>
          </cell>
          <cell r="K61">
            <v>48</v>
          </cell>
          <cell r="L61">
            <v>0</v>
          </cell>
          <cell r="M61">
            <v>74</v>
          </cell>
          <cell r="N61">
            <v>3.6</v>
          </cell>
          <cell r="O61">
            <v>31885.59</v>
          </cell>
          <cell r="P61">
            <v>62.4</v>
          </cell>
        </row>
        <row r="62">
          <cell r="A62">
            <v>73</v>
          </cell>
          <cell r="C62" t="str">
            <v>RESPIRATORY SIGNS, SYMPTOMS &amp; MINOR DIAGNOSES                                     </v>
          </cell>
          <cell r="D62">
            <v>12</v>
          </cell>
          <cell r="E62">
            <v>10</v>
          </cell>
          <cell r="F62">
            <v>18</v>
          </cell>
          <cell r="G62">
            <v>33</v>
          </cell>
          <cell r="H62">
            <v>0</v>
          </cell>
          <cell r="I62">
            <v>73</v>
          </cell>
          <cell r="J62">
            <v>38</v>
          </cell>
          <cell r="K62">
            <v>35</v>
          </cell>
          <cell r="L62">
            <v>0</v>
          </cell>
          <cell r="M62">
            <v>73</v>
          </cell>
          <cell r="N62">
            <v>3.2</v>
          </cell>
          <cell r="O62">
            <v>11771.59</v>
          </cell>
          <cell r="P62">
            <v>53.6</v>
          </cell>
        </row>
        <row r="63">
          <cell r="A63">
            <v>71</v>
          </cell>
          <cell r="C63" t="str">
            <v>OTHER VASCULAR PROCEDURES                                                         </v>
          </cell>
          <cell r="D63">
            <v>1</v>
          </cell>
          <cell r="E63">
            <v>2</v>
          </cell>
          <cell r="F63">
            <v>26</v>
          </cell>
          <cell r="G63">
            <v>42</v>
          </cell>
          <cell r="H63">
            <v>0</v>
          </cell>
          <cell r="I63">
            <v>71</v>
          </cell>
          <cell r="J63">
            <v>36</v>
          </cell>
          <cell r="K63">
            <v>35</v>
          </cell>
          <cell r="L63">
            <v>0</v>
          </cell>
          <cell r="M63">
            <v>71</v>
          </cell>
          <cell r="N63">
            <v>6.5</v>
          </cell>
          <cell r="O63">
            <v>51213.1</v>
          </cell>
          <cell r="P63">
            <v>66.3</v>
          </cell>
        </row>
        <row r="64">
          <cell r="A64">
            <v>70</v>
          </cell>
          <cell r="C64" t="str">
            <v>PERIPHERAL, CRANIAL &amp; AUTONOMIC NERVE DISORDERS                                   </v>
          </cell>
          <cell r="D64">
            <v>0</v>
          </cell>
          <cell r="E64">
            <v>22</v>
          </cell>
          <cell r="F64">
            <v>35</v>
          </cell>
          <cell r="G64">
            <v>13</v>
          </cell>
          <cell r="H64">
            <v>0</v>
          </cell>
          <cell r="I64">
            <v>70</v>
          </cell>
          <cell r="J64">
            <v>31</v>
          </cell>
          <cell r="K64">
            <v>39</v>
          </cell>
          <cell r="L64">
            <v>0</v>
          </cell>
          <cell r="M64">
            <v>70</v>
          </cell>
          <cell r="N64">
            <v>4.6</v>
          </cell>
          <cell r="O64">
            <v>16225.24</v>
          </cell>
          <cell r="P64">
            <v>51.9</v>
          </cell>
        </row>
        <row r="65">
          <cell r="A65">
            <v>68.001</v>
          </cell>
          <cell r="C65" t="str">
            <v>ALCOHOL ABUSE &amp; DEPENDENCE                                                        </v>
          </cell>
          <cell r="D65">
            <v>0</v>
          </cell>
          <cell r="E65">
            <v>18</v>
          </cell>
          <cell r="F65">
            <v>46</v>
          </cell>
          <cell r="G65">
            <v>4</v>
          </cell>
          <cell r="H65">
            <v>0</v>
          </cell>
          <cell r="I65">
            <v>68</v>
          </cell>
          <cell r="J65">
            <v>45</v>
          </cell>
          <cell r="K65">
            <v>23</v>
          </cell>
          <cell r="L65">
            <v>0</v>
          </cell>
          <cell r="M65">
            <v>68</v>
          </cell>
          <cell r="N65">
            <v>4.2</v>
          </cell>
          <cell r="O65">
            <v>16652.44</v>
          </cell>
          <cell r="P65">
            <v>49.7</v>
          </cell>
        </row>
        <row r="66">
          <cell r="A66">
            <v>68</v>
          </cell>
          <cell r="C66" t="str">
            <v>INFECTIOUS &amp; PARASITIC DISEASES INCLUDING HIV W O.R. PROCEDURE                    </v>
          </cell>
          <cell r="D66">
            <v>1</v>
          </cell>
          <cell r="E66">
            <v>5</v>
          </cell>
          <cell r="F66">
            <v>27</v>
          </cell>
          <cell r="G66">
            <v>35</v>
          </cell>
          <cell r="H66">
            <v>0</v>
          </cell>
          <cell r="I66">
            <v>68</v>
          </cell>
          <cell r="J66">
            <v>34</v>
          </cell>
          <cell r="K66">
            <v>34</v>
          </cell>
          <cell r="L66">
            <v>0</v>
          </cell>
          <cell r="M66">
            <v>68</v>
          </cell>
          <cell r="N66">
            <v>14.7</v>
          </cell>
          <cell r="O66">
            <v>78675.06</v>
          </cell>
          <cell r="P66">
            <v>62.6</v>
          </cell>
        </row>
        <row r="67">
          <cell r="A67">
            <v>62</v>
          </cell>
          <cell r="C67" t="str">
            <v>BRONCHIOLITIS &amp; RSV PNEUMONIA                                                     </v>
          </cell>
          <cell r="D67">
            <v>62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62</v>
          </cell>
          <cell r="J67">
            <v>36</v>
          </cell>
          <cell r="K67">
            <v>26</v>
          </cell>
          <cell r="L67">
            <v>0</v>
          </cell>
          <cell r="M67">
            <v>62</v>
          </cell>
          <cell r="N67">
            <v>2.4</v>
          </cell>
          <cell r="O67">
            <v>6393.46</v>
          </cell>
          <cell r="P67">
            <v>0.4</v>
          </cell>
        </row>
        <row r="68">
          <cell r="A68">
            <v>61</v>
          </cell>
          <cell r="C68" t="str">
            <v>NONTRAUMATIC STUPOR &amp; COMA                                                        </v>
          </cell>
          <cell r="D68">
            <v>1</v>
          </cell>
          <cell r="E68">
            <v>8</v>
          </cell>
          <cell r="F68">
            <v>17</v>
          </cell>
          <cell r="G68">
            <v>35</v>
          </cell>
          <cell r="H68">
            <v>0</v>
          </cell>
          <cell r="I68">
            <v>61</v>
          </cell>
          <cell r="J68">
            <v>28</v>
          </cell>
          <cell r="K68">
            <v>33</v>
          </cell>
          <cell r="L68">
            <v>0</v>
          </cell>
          <cell r="M68">
            <v>61</v>
          </cell>
          <cell r="N68">
            <v>4.4</v>
          </cell>
          <cell r="O68">
            <v>17161.83</v>
          </cell>
          <cell r="P68">
            <v>66.6</v>
          </cell>
        </row>
        <row r="69">
          <cell r="A69">
            <v>60</v>
          </cell>
          <cell r="C69" t="str">
            <v>RESPIRATORY MALIGNANCY                                                            </v>
          </cell>
          <cell r="D69">
            <v>0</v>
          </cell>
          <cell r="E69">
            <v>2</v>
          </cell>
          <cell r="F69">
            <v>26</v>
          </cell>
          <cell r="G69">
            <v>32</v>
          </cell>
          <cell r="H69">
            <v>0</v>
          </cell>
          <cell r="I69">
            <v>60</v>
          </cell>
          <cell r="J69">
            <v>37</v>
          </cell>
          <cell r="K69">
            <v>23</v>
          </cell>
          <cell r="L69">
            <v>0</v>
          </cell>
          <cell r="M69">
            <v>60</v>
          </cell>
          <cell r="N69">
            <v>8.5</v>
          </cell>
          <cell r="O69">
            <v>32010.23</v>
          </cell>
          <cell r="P69">
            <v>64.9</v>
          </cell>
        </row>
        <row r="70">
          <cell r="A70">
            <v>58</v>
          </cell>
          <cell r="C70" t="str">
            <v>FOOT &amp; TOE PROCEDURES                                                             </v>
          </cell>
          <cell r="D70">
            <v>0</v>
          </cell>
          <cell r="E70">
            <v>7</v>
          </cell>
          <cell r="F70">
            <v>32</v>
          </cell>
          <cell r="G70">
            <v>19</v>
          </cell>
          <cell r="H70">
            <v>0</v>
          </cell>
          <cell r="I70">
            <v>58</v>
          </cell>
          <cell r="J70">
            <v>42</v>
          </cell>
          <cell r="K70">
            <v>16</v>
          </cell>
          <cell r="L70">
            <v>0</v>
          </cell>
          <cell r="M70">
            <v>58</v>
          </cell>
          <cell r="N70">
            <v>8.9</v>
          </cell>
          <cell r="O70">
            <v>34182.96</v>
          </cell>
          <cell r="P70">
            <v>59.4</v>
          </cell>
        </row>
        <row r="71">
          <cell r="A71">
            <v>57.001</v>
          </cell>
          <cell r="C71" t="str">
            <v>ABDOMINAL PAIN                                                                    </v>
          </cell>
          <cell r="D71">
            <v>2</v>
          </cell>
          <cell r="E71">
            <v>30</v>
          </cell>
          <cell r="F71">
            <v>16</v>
          </cell>
          <cell r="G71">
            <v>9</v>
          </cell>
          <cell r="H71">
            <v>0</v>
          </cell>
          <cell r="I71">
            <v>57</v>
          </cell>
          <cell r="J71">
            <v>20</v>
          </cell>
          <cell r="K71">
            <v>37</v>
          </cell>
          <cell r="L71">
            <v>0</v>
          </cell>
          <cell r="M71">
            <v>57</v>
          </cell>
          <cell r="N71">
            <v>3.2</v>
          </cell>
          <cell r="O71">
            <v>13829.07</v>
          </cell>
          <cell r="P71">
            <v>45.3</v>
          </cell>
        </row>
        <row r="72">
          <cell r="A72">
            <v>57</v>
          </cell>
          <cell r="C72" t="str">
            <v>CORONARY BYPASS W CARDIAC CATH OR PERCUTANEOUS CARDIAC PROCEDURE                  </v>
          </cell>
          <cell r="D72">
            <v>0</v>
          </cell>
          <cell r="E72">
            <v>2</v>
          </cell>
          <cell r="F72">
            <v>23</v>
          </cell>
          <cell r="G72">
            <v>32</v>
          </cell>
          <cell r="H72">
            <v>0</v>
          </cell>
          <cell r="I72">
            <v>57</v>
          </cell>
          <cell r="J72">
            <v>36</v>
          </cell>
          <cell r="K72">
            <v>21</v>
          </cell>
          <cell r="L72">
            <v>0</v>
          </cell>
          <cell r="M72">
            <v>57</v>
          </cell>
          <cell r="N72">
            <v>11.4</v>
          </cell>
          <cell r="O72">
            <v>136651.13</v>
          </cell>
          <cell r="P72">
            <v>65.8</v>
          </cell>
        </row>
        <row r="73">
          <cell r="A73">
            <v>56</v>
          </cell>
          <cell r="C73" t="str">
            <v>OTHER KIDNEY &amp; URINARY TRACT DIAGNOSES, SIGNS &amp; SYMPTOMS                          </v>
          </cell>
          <cell r="D73">
            <v>0</v>
          </cell>
          <cell r="E73">
            <v>13</v>
          </cell>
          <cell r="F73">
            <v>15</v>
          </cell>
          <cell r="G73">
            <v>28</v>
          </cell>
          <cell r="H73">
            <v>0</v>
          </cell>
          <cell r="I73">
            <v>56</v>
          </cell>
          <cell r="J73">
            <v>32</v>
          </cell>
          <cell r="K73">
            <v>24</v>
          </cell>
          <cell r="L73">
            <v>0</v>
          </cell>
          <cell r="M73">
            <v>56</v>
          </cell>
          <cell r="N73">
            <v>4.8</v>
          </cell>
          <cell r="O73">
            <v>18945.16</v>
          </cell>
          <cell r="P73">
            <v>61.9</v>
          </cell>
        </row>
        <row r="74">
          <cell r="A74">
            <v>55</v>
          </cell>
          <cell r="C74" t="str">
            <v>DISORDERS OF GALLBLADDER &amp; BILIARY TRACT                                          </v>
          </cell>
          <cell r="D74">
            <v>0</v>
          </cell>
          <cell r="E74">
            <v>13</v>
          </cell>
          <cell r="F74">
            <v>17</v>
          </cell>
          <cell r="G74">
            <v>25</v>
          </cell>
          <cell r="H74">
            <v>0</v>
          </cell>
          <cell r="I74">
            <v>55</v>
          </cell>
          <cell r="J74">
            <v>22</v>
          </cell>
          <cell r="K74">
            <v>33</v>
          </cell>
          <cell r="L74">
            <v>0</v>
          </cell>
          <cell r="M74">
            <v>55</v>
          </cell>
          <cell r="N74">
            <v>3.7</v>
          </cell>
          <cell r="O74">
            <v>19089.52</v>
          </cell>
          <cell r="P74">
            <v>61.3</v>
          </cell>
        </row>
        <row r="75">
          <cell r="A75">
            <v>54.001</v>
          </cell>
          <cell r="C75" t="str">
            <v>INTERVERTEBRAL DISC EXCISION &amp; DECOMPRESSION                                      </v>
          </cell>
          <cell r="D75">
            <v>0</v>
          </cell>
          <cell r="E75">
            <v>9</v>
          </cell>
          <cell r="F75">
            <v>6</v>
          </cell>
          <cell r="G75">
            <v>39</v>
          </cell>
          <cell r="H75">
            <v>0</v>
          </cell>
          <cell r="I75">
            <v>54</v>
          </cell>
          <cell r="J75">
            <v>21</v>
          </cell>
          <cell r="K75">
            <v>33</v>
          </cell>
          <cell r="L75">
            <v>0</v>
          </cell>
          <cell r="M75">
            <v>54</v>
          </cell>
          <cell r="N75">
            <v>3.9</v>
          </cell>
          <cell r="O75">
            <v>33342.62</v>
          </cell>
          <cell r="P75">
            <v>67.8</v>
          </cell>
        </row>
        <row r="76">
          <cell r="A76">
            <v>54</v>
          </cell>
          <cell r="C76" t="str">
            <v>CARDIAC CATHETERIZATION FOR ISCHEMIC HEART DISEASE                                </v>
          </cell>
          <cell r="D76">
            <v>0</v>
          </cell>
          <cell r="E76">
            <v>10</v>
          </cell>
          <cell r="F76">
            <v>22</v>
          </cell>
          <cell r="G76">
            <v>22</v>
          </cell>
          <cell r="H76">
            <v>0</v>
          </cell>
          <cell r="I76">
            <v>54</v>
          </cell>
          <cell r="J76">
            <v>33</v>
          </cell>
          <cell r="K76">
            <v>21</v>
          </cell>
          <cell r="L76">
            <v>0</v>
          </cell>
          <cell r="M76">
            <v>54</v>
          </cell>
          <cell r="N76">
            <v>2.5</v>
          </cell>
          <cell r="O76">
            <v>19779.75</v>
          </cell>
          <cell r="P76">
            <v>59.7</v>
          </cell>
        </row>
        <row r="77">
          <cell r="A77">
            <v>53.001</v>
          </cell>
          <cell r="C77" t="str">
            <v>URINARY STONES &amp; ACQUIRED UPPER URINARY TRACT OBSTRUCTION                         </v>
          </cell>
          <cell r="D77">
            <v>1</v>
          </cell>
          <cell r="E77">
            <v>23</v>
          </cell>
          <cell r="F77">
            <v>18</v>
          </cell>
          <cell r="G77">
            <v>11</v>
          </cell>
          <cell r="H77">
            <v>0</v>
          </cell>
          <cell r="I77">
            <v>53</v>
          </cell>
          <cell r="J77">
            <v>18</v>
          </cell>
          <cell r="K77">
            <v>35</v>
          </cell>
          <cell r="L77">
            <v>0</v>
          </cell>
          <cell r="M77">
            <v>53</v>
          </cell>
          <cell r="N77">
            <v>2.8</v>
          </cell>
          <cell r="O77">
            <v>14220.1</v>
          </cell>
          <cell r="P77">
            <v>48.4</v>
          </cell>
        </row>
        <row r="78">
          <cell r="A78">
            <v>53</v>
          </cell>
          <cell r="C78" t="str">
            <v>INFECTIONS OF UPPER RESPIRATORY TRACT                                             </v>
          </cell>
          <cell r="D78">
            <v>21</v>
          </cell>
          <cell r="E78">
            <v>18</v>
          </cell>
          <cell r="F78">
            <v>6</v>
          </cell>
          <cell r="G78">
            <v>8</v>
          </cell>
          <cell r="H78">
            <v>0</v>
          </cell>
          <cell r="I78">
            <v>53</v>
          </cell>
          <cell r="J78">
            <v>32</v>
          </cell>
          <cell r="K78">
            <v>21</v>
          </cell>
          <cell r="L78">
            <v>0</v>
          </cell>
          <cell r="M78">
            <v>53</v>
          </cell>
          <cell r="N78">
            <v>2.4</v>
          </cell>
          <cell r="O78">
            <v>7679.94</v>
          </cell>
          <cell r="P78">
            <v>28.5</v>
          </cell>
        </row>
        <row r="79">
          <cell r="A79">
            <v>51</v>
          </cell>
          <cell r="C79" t="str">
            <v>CARDIAC VALVE PROCEDURES W/O CARDIAC CATHETERIZATION                              </v>
          </cell>
          <cell r="D79">
            <v>0</v>
          </cell>
          <cell r="E79">
            <v>2</v>
          </cell>
          <cell r="F79">
            <v>14</v>
          </cell>
          <cell r="G79">
            <v>35</v>
          </cell>
          <cell r="H79">
            <v>0</v>
          </cell>
          <cell r="I79">
            <v>51</v>
          </cell>
          <cell r="J79">
            <v>28</v>
          </cell>
          <cell r="K79">
            <v>23</v>
          </cell>
          <cell r="L79">
            <v>0</v>
          </cell>
          <cell r="M79">
            <v>51</v>
          </cell>
          <cell r="N79">
            <v>8.5</v>
          </cell>
          <cell r="O79">
            <v>136024.06</v>
          </cell>
          <cell r="P79">
            <v>67.2</v>
          </cell>
        </row>
        <row r="80">
          <cell r="A80">
            <v>50</v>
          </cell>
          <cell r="C80" t="str">
            <v>INFLAMMATORY BOWEL DISEASE                                                        </v>
          </cell>
          <cell r="D80">
            <v>2</v>
          </cell>
          <cell r="E80">
            <v>35</v>
          </cell>
          <cell r="F80">
            <v>13</v>
          </cell>
          <cell r="G80">
            <v>0</v>
          </cell>
          <cell r="H80">
            <v>0</v>
          </cell>
          <cell r="I80">
            <v>50</v>
          </cell>
          <cell r="J80">
            <v>13</v>
          </cell>
          <cell r="K80">
            <v>37</v>
          </cell>
          <cell r="L80">
            <v>0</v>
          </cell>
          <cell r="M80">
            <v>50</v>
          </cell>
          <cell r="N80">
            <v>5</v>
          </cell>
          <cell r="O80">
            <v>18387.85</v>
          </cell>
          <cell r="P80">
            <v>36.6</v>
          </cell>
        </row>
        <row r="81">
          <cell r="A81">
            <v>48.001</v>
          </cell>
          <cell r="C81" t="str">
            <v>MODERATELY EXTENSIVE PROCEDURE UNRELATED TO PRINCIPAL DIAGNOSIS                   </v>
          </cell>
          <cell r="D81">
            <v>0</v>
          </cell>
          <cell r="E81">
            <v>8</v>
          </cell>
          <cell r="F81">
            <v>16</v>
          </cell>
          <cell r="G81">
            <v>24</v>
          </cell>
          <cell r="H81">
            <v>0</v>
          </cell>
          <cell r="I81">
            <v>48</v>
          </cell>
          <cell r="J81">
            <v>19</v>
          </cell>
          <cell r="K81">
            <v>29</v>
          </cell>
          <cell r="L81">
            <v>0</v>
          </cell>
          <cell r="M81">
            <v>48</v>
          </cell>
          <cell r="N81">
            <v>9</v>
          </cell>
          <cell r="O81">
            <v>43684.47</v>
          </cell>
          <cell r="P81">
            <v>62.2</v>
          </cell>
        </row>
        <row r="82">
          <cell r="A82">
            <v>48</v>
          </cell>
          <cell r="C82" t="str">
            <v>CARDIAC DEFIBRILLATOR &amp; HEART ASSIST IMPLANT                                      </v>
          </cell>
          <cell r="D82">
            <v>0</v>
          </cell>
          <cell r="E82">
            <v>2</v>
          </cell>
          <cell r="F82">
            <v>14</v>
          </cell>
          <cell r="G82">
            <v>32</v>
          </cell>
          <cell r="H82">
            <v>0</v>
          </cell>
          <cell r="I82">
            <v>48</v>
          </cell>
          <cell r="J82">
            <v>39</v>
          </cell>
          <cell r="K82">
            <v>9</v>
          </cell>
          <cell r="L82">
            <v>0</v>
          </cell>
          <cell r="M82">
            <v>48</v>
          </cell>
          <cell r="N82">
            <v>4</v>
          </cell>
          <cell r="O82">
            <v>117249.11</v>
          </cell>
          <cell r="P82">
            <v>68.4</v>
          </cell>
        </row>
        <row r="83">
          <cell r="A83">
            <v>47</v>
          </cell>
          <cell r="C83" t="str">
            <v>CARDIAC CATHETERIZATION W CIRC DISORD EXC ISCHEMIC HEART DISEASE                  </v>
          </cell>
          <cell r="D83">
            <v>0</v>
          </cell>
          <cell r="E83">
            <v>6</v>
          </cell>
          <cell r="F83">
            <v>25</v>
          </cell>
          <cell r="G83">
            <v>16</v>
          </cell>
          <cell r="H83">
            <v>0</v>
          </cell>
          <cell r="I83">
            <v>47</v>
          </cell>
          <cell r="J83">
            <v>29</v>
          </cell>
          <cell r="K83">
            <v>18</v>
          </cell>
          <cell r="L83">
            <v>0</v>
          </cell>
          <cell r="M83">
            <v>47</v>
          </cell>
          <cell r="N83">
            <v>6.3</v>
          </cell>
          <cell r="O83">
            <v>37530.75</v>
          </cell>
          <cell r="P83">
            <v>60</v>
          </cell>
        </row>
        <row r="84">
          <cell r="A84">
            <v>46</v>
          </cell>
          <cell r="C84" t="str">
            <v>MALFUNCTION, REACTION, COMPLIC OF GENITOURINARY DEVICE OR PROC                    </v>
          </cell>
          <cell r="D84">
            <v>0</v>
          </cell>
          <cell r="E84">
            <v>3</v>
          </cell>
          <cell r="F84">
            <v>19</v>
          </cell>
          <cell r="G84">
            <v>24</v>
          </cell>
          <cell r="H84">
            <v>0</v>
          </cell>
          <cell r="I84">
            <v>46</v>
          </cell>
          <cell r="J84">
            <v>20</v>
          </cell>
          <cell r="K84">
            <v>26</v>
          </cell>
          <cell r="L84">
            <v>0</v>
          </cell>
          <cell r="M84">
            <v>46</v>
          </cell>
          <cell r="N84">
            <v>7</v>
          </cell>
          <cell r="O84">
            <v>26199.98</v>
          </cell>
          <cell r="P84">
            <v>63.5</v>
          </cell>
        </row>
        <row r="85">
          <cell r="A85">
            <v>45</v>
          </cell>
          <cell r="C85" t="str">
            <v>OTHER DISORDERS OF THE LIVER                                                      </v>
          </cell>
          <cell r="D85">
            <v>1</v>
          </cell>
          <cell r="E85">
            <v>7</v>
          </cell>
          <cell r="F85">
            <v>16</v>
          </cell>
          <cell r="G85">
            <v>21</v>
          </cell>
          <cell r="H85">
            <v>0</v>
          </cell>
          <cell r="I85">
            <v>45</v>
          </cell>
          <cell r="J85">
            <v>28</v>
          </cell>
          <cell r="K85">
            <v>17</v>
          </cell>
          <cell r="L85">
            <v>0</v>
          </cell>
          <cell r="M85">
            <v>45</v>
          </cell>
          <cell r="N85">
            <v>6.9</v>
          </cell>
          <cell r="O85">
            <v>24181.44</v>
          </cell>
          <cell r="P85">
            <v>57.6</v>
          </cell>
        </row>
        <row r="86">
          <cell r="A86">
            <v>44.001</v>
          </cell>
          <cell r="C86" t="str">
            <v>HIV W MULTIPLE MAJOR HIV RELATED CONDITIONS                                       </v>
          </cell>
          <cell r="D86">
            <v>0</v>
          </cell>
          <cell r="E86">
            <v>21</v>
          </cell>
          <cell r="F86">
            <v>21</v>
          </cell>
          <cell r="G86">
            <v>2</v>
          </cell>
          <cell r="H86">
            <v>0</v>
          </cell>
          <cell r="I86">
            <v>44</v>
          </cell>
          <cell r="J86">
            <v>25</v>
          </cell>
          <cell r="K86">
            <v>19</v>
          </cell>
          <cell r="L86">
            <v>0</v>
          </cell>
          <cell r="M86">
            <v>44</v>
          </cell>
          <cell r="N86">
            <v>16.3</v>
          </cell>
          <cell r="O86">
            <v>68231.77</v>
          </cell>
          <cell r="P86">
            <v>46.5</v>
          </cell>
        </row>
        <row r="87">
          <cell r="A87">
            <v>44.001</v>
          </cell>
          <cell r="C87" t="str">
            <v>NEONATE, BIRTHWT &gt;2499G W RESP DIST SYND/OTH MAJ RESP COND                        </v>
          </cell>
          <cell r="D87">
            <v>44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44</v>
          </cell>
          <cell r="J87">
            <v>29</v>
          </cell>
          <cell r="K87">
            <v>15</v>
          </cell>
          <cell r="L87">
            <v>0</v>
          </cell>
          <cell r="M87">
            <v>44</v>
          </cell>
          <cell r="N87">
            <v>7.6</v>
          </cell>
          <cell r="O87">
            <v>18148.55</v>
          </cell>
          <cell r="P87">
            <v>0</v>
          </cell>
        </row>
        <row r="88">
          <cell r="A88">
            <v>44</v>
          </cell>
          <cell r="C88" t="str">
            <v>RESPIRATORY SYSTEM DIAGNOSIS W VENTILATOR SUPPORT 96+ HOURS                       </v>
          </cell>
          <cell r="D88">
            <v>0</v>
          </cell>
          <cell r="E88">
            <v>3</v>
          </cell>
          <cell r="F88">
            <v>24</v>
          </cell>
          <cell r="G88">
            <v>17</v>
          </cell>
          <cell r="H88">
            <v>0</v>
          </cell>
          <cell r="I88">
            <v>44</v>
          </cell>
          <cell r="J88">
            <v>22</v>
          </cell>
          <cell r="K88">
            <v>22</v>
          </cell>
          <cell r="L88">
            <v>0</v>
          </cell>
          <cell r="M88">
            <v>44</v>
          </cell>
          <cell r="N88">
            <v>16.7</v>
          </cell>
          <cell r="O88">
            <v>99130.68</v>
          </cell>
          <cell r="P88">
            <v>61.6</v>
          </cell>
        </row>
        <row r="89">
          <cell r="A89">
            <v>43.001</v>
          </cell>
          <cell r="C89" t="str">
            <v>HEPATIC COMA &amp; OTHER MAJOR ACUTE LIVER DISORDERS                                  </v>
          </cell>
          <cell r="D89">
            <v>0</v>
          </cell>
          <cell r="E89">
            <v>5</v>
          </cell>
          <cell r="F89">
            <v>23</v>
          </cell>
          <cell r="G89">
            <v>15</v>
          </cell>
          <cell r="H89">
            <v>0</v>
          </cell>
          <cell r="I89">
            <v>43</v>
          </cell>
          <cell r="J89">
            <v>20</v>
          </cell>
          <cell r="K89">
            <v>23</v>
          </cell>
          <cell r="L89">
            <v>0</v>
          </cell>
          <cell r="M89">
            <v>43</v>
          </cell>
          <cell r="N89">
            <v>5.3</v>
          </cell>
          <cell r="O89">
            <v>21497.92</v>
          </cell>
          <cell r="P89">
            <v>58.5</v>
          </cell>
        </row>
        <row r="90">
          <cell r="A90">
            <v>43.001</v>
          </cell>
          <cell r="C90" t="str">
            <v>CORONARY BYPASS W/O CARDIAC CATH OR PERCUTANEOUS CARDIAC PROCEDURE                </v>
          </cell>
          <cell r="D90">
            <v>0</v>
          </cell>
          <cell r="E90">
            <v>1</v>
          </cell>
          <cell r="F90">
            <v>16</v>
          </cell>
          <cell r="G90">
            <v>26</v>
          </cell>
          <cell r="H90">
            <v>0</v>
          </cell>
          <cell r="I90">
            <v>43</v>
          </cell>
          <cell r="J90">
            <v>29</v>
          </cell>
          <cell r="K90">
            <v>14</v>
          </cell>
          <cell r="L90">
            <v>0</v>
          </cell>
          <cell r="M90">
            <v>43</v>
          </cell>
          <cell r="N90">
            <v>8.3</v>
          </cell>
          <cell r="O90">
            <v>120380.86</v>
          </cell>
          <cell r="P90">
            <v>65.2</v>
          </cell>
        </row>
        <row r="91">
          <cell r="A91">
            <v>43.4</v>
          </cell>
          <cell r="C91" t="str">
            <v>DEGENERATIVE NERVOUS SYSTEM DISORDERS EXC MULT SCLEROSIS                          </v>
          </cell>
          <cell r="D91">
            <v>0</v>
          </cell>
          <cell r="E91">
            <v>0</v>
          </cell>
          <cell r="F91">
            <v>7</v>
          </cell>
          <cell r="G91">
            <v>36</v>
          </cell>
          <cell r="H91">
            <v>0</v>
          </cell>
          <cell r="I91">
            <v>43</v>
          </cell>
          <cell r="J91">
            <v>21</v>
          </cell>
          <cell r="K91">
            <v>22</v>
          </cell>
          <cell r="L91">
            <v>0</v>
          </cell>
          <cell r="M91">
            <v>43</v>
          </cell>
          <cell r="N91">
            <v>7.4</v>
          </cell>
          <cell r="O91">
            <v>17622.55</v>
          </cell>
          <cell r="P91">
            <v>75.4</v>
          </cell>
        </row>
        <row r="92">
          <cell r="A92">
            <v>43</v>
          </cell>
          <cell r="C92" t="str">
            <v>EXTRACRANIAL VASCULAR PROCEDURES                                                  </v>
          </cell>
          <cell r="D92">
            <v>0</v>
          </cell>
          <cell r="E92">
            <v>0</v>
          </cell>
          <cell r="F92">
            <v>14</v>
          </cell>
          <cell r="G92">
            <v>29</v>
          </cell>
          <cell r="H92">
            <v>0</v>
          </cell>
          <cell r="I92">
            <v>43</v>
          </cell>
          <cell r="J92">
            <v>24</v>
          </cell>
          <cell r="K92">
            <v>19</v>
          </cell>
          <cell r="L92">
            <v>0</v>
          </cell>
          <cell r="M92">
            <v>43</v>
          </cell>
          <cell r="N92">
            <v>2.6</v>
          </cell>
          <cell r="O92">
            <v>23996.83</v>
          </cell>
          <cell r="P92">
            <v>69.7</v>
          </cell>
        </row>
        <row r="93">
          <cell r="A93">
            <v>42.001</v>
          </cell>
          <cell r="C93" t="str">
            <v>NEONATE BWT 2000-2499G, NORMAL NEWBORN OR NEONATE W OTHER PROBLEM                 </v>
          </cell>
          <cell r="D93">
            <v>42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42</v>
          </cell>
          <cell r="J93">
            <v>13</v>
          </cell>
          <cell r="K93">
            <v>29</v>
          </cell>
          <cell r="L93">
            <v>0</v>
          </cell>
          <cell r="M93">
            <v>42</v>
          </cell>
          <cell r="N93">
            <v>6.7</v>
          </cell>
          <cell r="O93">
            <v>11418.46</v>
          </cell>
          <cell r="P93">
            <v>0</v>
          </cell>
        </row>
        <row r="94">
          <cell r="A94">
            <v>42</v>
          </cell>
          <cell r="C94" t="str">
            <v>OTHER CIRCULATORY SYSTEM DIAGNOSES                                                </v>
          </cell>
          <cell r="D94">
            <v>0</v>
          </cell>
          <cell r="E94">
            <v>2</v>
          </cell>
          <cell r="F94">
            <v>22</v>
          </cell>
          <cell r="G94">
            <v>18</v>
          </cell>
          <cell r="H94">
            <v>0</v>
          </cell>
          <cell r="I94">
            <v>42</v>
          </cell>
          <cell r="J94">
            <v>19</v>
          </cell>
          <cell r="K94">
            <v>23</v>
          </cell>
          <cell r="L94">
            <v>0</v>
          </cell>
          <cell r="M94">
            <v>42</v>
          </cell>
          <cell r="N94">
            <v>3.9</v>
          </cell>
          <cell r="O94">
            <v>17321.9</v>
          </cell>
          <cell r="P94">
            <v>64.2</v>
          </cell>
        </row>
        <row r="95">
          <cell r="A95">
            <v>40</v>
          </cell>
          <cell r="C95" t="str">
            <v>MIGRAINE &amp; OTHER HEADACHES                                                        </v>
          </cell>
          <cell r="D95">
            <v>2</v>
          </cell>
          <cell r="E95">
            <v>24</v>
          </cell>
          <cell r="F95">
            <v>10</v>
          </cell>
          <cell r="G95">
            <v>4</v>
          </cell>
          <cell r="H95">
            <v>0</v>
          </cell>
          <cell r="I95">
            <v>40</v>
          </cell>
          <cell r="J95">
            <v>13</v>
          </cell>
          <cell r="K95">
            <v>27</v>
          </cell>
          <cell r="L95">
            <v>0</v>
          </cell>
          <cell r="M95">
            <v>40</v>
          </cell>
          <cell r="N95">
            <v>2.9</v>
          </cell>
          <cell r="O95">
            <v>14559.97</v>
          </cell>
          <cell r="P95">
            <v>41.2</v>
          </cell>
        </row>
        <row r="96">
          <cell r="A96">
            <v>39.001</v>
          </cell>
          <cell r="C96" t="str">
            <v>SIGNS, SYMPTOMS &amp; OTHER FACTORS INFLUENCING HEALTH STATUS                         </v>
          </cell>
          <cell r="D96">
            <v>2</v>
          </cell>
          <cell r="E96">
            <v>5</v>
          </cell>
          <cell r="F96">
            <v>12</v>
          </cell>
          <cell r="G96">
            <v>20</v>
          </cell>
          <cell r="H96">
            <v>0</v>
          </cell>
          <cell r="I96">
            <v>39</v>
          </cell>
          <cell r="J96">
            <v>16</v>
          </cell>
          <cell r="K96">
            <v>23</v>
          </cell>
          <cell r="L96">
            <v>0</v>
          </cell>
          <cell r="M96">
            <v>39</v>
          </cell>
          <cell r="N96">
            <v>4.6</v>
          </cell>
          <cell r="O96">
            <v>15814.99</v>
          </cell>
          <cell r="P96">
            <v>63.4</v>
          </cell>
        </row>
        <row r="97">
          <cell r="A97">
            <v>39.001</v>
          </cell>
          <cell r="C97" t="str">
            <v>FRACTURES &amp; DISLOCATIONS EXCEPT FEMUR, PELVIS &amp; BACK                              </v>
          </cell>
          <cell r="D97">
            <v>2</v>
          </cell>
          <cell r="E97">
            <v>4</v>
          </cell>
          <cell r="F97">
            <v>8</v>
          </cell>
          <cell r="G97">
            <v>25</v>
          </cell>
          <cell r="H97">
            <v>0</v>
          </cell>
          <cell r="I97">
            <v>39</v>
          </cell>
          <cell r="J97">
            <v>12</v>
          </cell>
          <cell r="K97">
            <v>27</v>
          </cell>
          <cell r="L97">
            <v>0</v>
          </cell>
          <cell r="M97">
            <v>39</v>
          </cell>
          <cell r="N97">
            <v>3.7</v>
          </cell>
          <cell r="O97">
            <v>12182.27</v>
          </cell>
          <cell r="P97">
            <v>67</v>
          </cell>
        </row>
        <row r="98">
          <cell r="A98">
            <v>39</v>
          </cell>
          <cell r="C98" t="str">
            <v>MAJOR CHEST &amp; RESPIRATORY TRAUMA                                                  </v>
          </cell>
          <cell r="D98">
            <v>0</v>
          </cell>
          <cell r="E98">
            <v>9</v>
          </cell>
          <cell r="F98">
            <v>18</v>
          </cell>
          <cell r="G98">
            <v>12</v>
          </cell>
          <cell r="H98">
            <v>0</v>
          </cell>
          <cell r="I98">
            <v>39</v>
          </cell>
          <cell r="J98">
            <v>26</v>
          </cell>
          <cell r="K98">
            <v>13</v>
          </cell>
          <cell r="L98">
            <v>0</v>
          </cell>
          <cell r="M98">
            <v>39</v>
          </cell>
          <cell r="N98">
            <v>3.3</v>
          </cell>
          <cell r="O98">
            <v>16229.21</v>
          </cell>
          <cell r="P98">
            <v>57.5</v>
          </cell>
        </row>
        <row r="99">
          <cell r="A99">
            <v>38.001</v>
          </cell>
          <cell r="C99" t="str">
            <v>NEONATE BIRTHWT &gt;2499G W OTHER SIGNIFICANT CONDITION                              </v>
          </cell>
          <cell r="D99">
            <v>38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38</v>
          </cell>
          <cell r="J99">
            <v>25</v>
          </cell>
          <cell r="K99">
            <v>13</v>
          </cell>
          <cell r="L99">
            <v>0</v>
          </cell>
          <cell r="M99">
            <v>38</v>
          </cell>
          <cell r="N99">
            <v>6.7</v>
          </cell>
          <cell r="O99">
            <v>10206.24</v>
          </cell>
          <cell r="P99">
            <v>0</v>
          </cell>
        </row>
        <row r="100">
          <cell r="A100">
            <v>38</v>
          </cell>
          <cell r="C100" t="str">
            <v>OTHER RESPIRATORY &amp; CHEST PROCEDURES                                              </v>
          </cell>
          <cell r="D100">
            <v>0</v>
          </cell>
          <cell r="E100">
            <v>7</v>
          </cell>
          <cell r="F100">
            <v>18</v>
          </cell>
          <cell r="G100">
            <v>13</v>
          </cell>
          <cell r="H100">
            <v>0</v>
          </cell>
          <cell r="I100">
            <v>38</v>
          </cell>
          <cell r="J100">
            <v>18</v>
          </cell>
          <cell r="K100">
            <v>20</v>
          </cell>
          <cell r="L100">
            <v>0</v>
          </cell>
          <cell r="M100">
            <v>38</v>
          </cell>
          <cell r="N100">
            <v>12.7</v>
          </cell>
          <cell r="O100">
            <v>53980.53</v>
          </cell>
          <cell r="P100">
            <v>57.2</v>
          </cell>
        </row>
        <row r="101">
          <cell r="A101">
            <v>37</v>
          </cell>
          <cell r="C101" t="str">
            <v>OTHER ENDOCRINE DISORDERS                                                         </v>
          </cell>
          <cell r="D101">
            <v>0</v>
          </cell>
          <cell r="E101">
            <v>8</v>
          </cell>
          <cell r="F101">
            <v>12</v>
          </cell>
          <cell r="G101">
            <v>17</v>
          </cell>
          <cell r="H101">
            <v>0</v>
          </cell>
          <cell r="I101">
            <v>37</v>
          </cell>
          <cell r="J101">
            <v>8</v>
          </cell>
          <cell r="K101">
            <v>29</v>
          </cell>
          <cell r="L101">
            <v>0</v>
          </cell>
          <cell r="M101">
            <v>37</v>
          </cell>
          <cell r="N101">
            <v>5.1</v>
          </cell>
          <cell r="O101">
            <v>21958.28</v>
          </cell>
          <cell r="P101">
            <v>61.3</v>
          </cell>
        </row>
        <row r="102">
          <cell r="A102">
            <v>36.001</v>
          </cell>
          <cell r="C102" t="str">
            <v>URETHRAL &amp; TRANSURETHRAL PROCEDURES                                               </v>
          </cell>
          <cell r="D102">
            <v>0</v>
          </cell>
          <cell r="E102">
            <v>8</v>
          </cell>
          <cell r="F102">
            <v>13</v>
          </cell>
          <cell r="G102">
            <v>15</v>
          </cell>
          <cell r="H102">
            <v>0</v>
          </cell>
          <cell r="I102">
            <v>36</v>
          </cell>
          <cell r="J102">
            <v>24</v>
          </cell>
          <cell r="K102">
            <v>12</v>
          </cell>
          <cell r="L102">
            <v>0</v>
          </cell>
          <cell r="M102">
            <v>36</v>
          </cell>
          <cell r="N102">
            <v>3.6</v>
          </cell>
          <cell r="O102">
            <v>20537.03</v>
          </cell>
          <cell r="P102">
            <v>59.8</v>
          </cell>
        </row>
        <row r="103">
          <cell r="A103">
            <v>36.001</v>
          </cell>
          <cell r="C103" t="str">
            <v>OTHER ESOPHAGEAL DISORDERS                                                        </v>
          </cell>
          <cell r="D103">
            <v>1</v>
          </cell>
          <cell r="E103">
            <v>7</v>
          </cell>
          <cell r="F103">
            <v>10</v>
          </cell>
          <cell r="G103">
            <v>18</v>
          </cell>
          <cell r="H103">
            <v>0</v>
          </cell>
          <cell r="I103">
            <v>36</v>
          </cell>
          <cell r="J103">
            <v>11</v>
          </cell>
          <cell r="K103">
            <v>25</v>
          </cell>
          <cell r="L103">
            <v>0</v>
          </cell>
          <cell r="M103">
            <v>36</v>
          </cell>
          <cell r="N103">
            <v>4.6</v>
          </cell>
          <cell r="O103">
            <v>19615.1</v>
          </cell>
          <cell r="P103">
            <v>62</v>
          </cell>
        </row>
        <row r="104">
          <cell r="A104">
            <v>36</v>
          </cell>
          <cell r="C104" t="str">
            <v>DIGESTIVE MALIGNANCY                                                              </v>
          </cell>
          <cell r="D104">
            <v>0</v>
          </cell>
          <cell r="E104">
            <v>4</v>
          </cell>
          <cell r="F104">
            <v>10</v>
          </cell>
          <cell r="G104">
            <v>22</v>
          </cell>
          <cell r="H104">
            <v>0</v>
          </cell>
          <cell r="I104">
            <v>36</v>
          </cell>
          <cell r="J104">
            <v>16</v>
          </cell>
          <cell r="K104">
            <v>20</v>
          </cell>
          <cell r="L104">
            <v>0</v>
          </cell>
          <cell r="M104">
            <v>36</v>
          </cell>
          <cell r="N104">
            <v>6.3</v>
          </cell>
          <cell r="O104">
            <v>26329.23</v>
          </cell>
          <cell r="P104">
            <v>65.5</v>
          </cell>
        </row>
        <row r="105">
          <cell r="A105">
            <v>35.001</v>
          </cell>
          <cell r="C105" t="str">
            <v>NEONATE, TRANSFERRED &lt; 5 DAYS OLD, BORN HERE                                      </v>
          </cell>
          <cell r="D105">
            <v>35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35</v>
          </cell>
          <cell r="J105">
            <v>20</v>
          </cell>
          <cell r="K105">
            <v>15</v>
          </cell>
          <cell r="L105">
            <v>0</v>
          </cell>
          <cell r="M105">
            <v>35</v>
          </cell>
          <cell r="N105">
            <v>1.2</v>
          </cell>
          <cell r="O105">
            <v>4135.68</v>
          </cell>
          <cell r="P105">
            <v>0</v>
          </cell>
        </row>
        <row r="106">
          <cell r="A106">
            <v>35.001</v>
          </cell>
          <cell r="C106" t="str">
            <v>KIDNEY &amp; URINARY TRACT PROCEDURES FOR NONMALIGNANCY                               </v>
          </cell>
          <cell r="D106">
            <v>0</v>
          </cell>
          <cell r="E106">
            <v>15</v>
          </cell>
          <cell r="F106">
            <v>8</v>
          </cell>
          <cell r="G106">
            <v>12</v>
          </cell>
          <cell r="H106">
            <v>0</v>
          </cell>
          <cell r="I106">
            <v>35</v>
          </cell>
          <cell r="J106">
            <v>16</v>
          </cell>
          <cell r="K106">
            <v>19</v>
          </cell>
          <cell r="L106">
            <v>0</v>
          </cell>
          <cell r="M106">
            <v>35</v>
          </cell>
          <cell r="N106">
            <v>5.2</v>
          </cell>
          <cell r="O106">
            <v>31373.25</v>
          </cell>
          <cell r="P106">
            <v>53.1</v>
          </cell>
        </row>
        <row r="107">
          <cell r="A107">
            <v>35.001</v>
          </cell>
          <cell r="C107" t="str">
            <v>OTHER SMALL &amp; LARGE BOWEL PROCEDURES                                              </v>
          </cell>
          <cell r="D107">
            <v>1</v>
          </cell>
          <cell r="E107">
            <v>6</v>
          </cell>
          <cell r="F107">
            <v>19</v>
          </cell>
          <cell r="G107">
            <v>9</v>
          </cell>
          <cell r="H107">
            <v>0</v>
          </cell>
          <cell r="I107">
            <v>35</v>
          </cell>
          <cell r="J107">
            <v>18</v>
          </cell>
          <cell r="K107">
            <v>17</v>
          </cell>
          <cell r="L107">
            <v>0</v>
          </cell>
          <cell r="M107">
            <v>35</v>
          </cell>
          <cell r="N107">
            <v>8.8</v>
          </cell>
          <cell r="O107">
            <v>41485.59</v>
          </cell>
          <cell r="P107">
            <v>55.2</v>
          </cell>
        </row>
        <row r="108">
          <cell r="A108">
            <v>35</v>
          </cell>
          <cell r="C108" t="str">
            <v>OTHER DISORDERS OF NERVOUS SYSTEM                                                 </v>
          </cell>
          <cell r="D108">
            <v>0</v>
          </cell>
          <cell r="E108">
            <v>6</v>
          </cell>
          <cell r="F108">
            <v>11</v>
          </cell>
          <cell r="G108">
            <v>18</v>
          </cell>
          <cell r="H108">
            <v>0</v>
          </cell>
          <cell r="I108">
            <v>35</v>
          </cell>
          <cell r="J108">
            <v>16</v>
          </cell>
          <cell r="K108">
            <v>19</v>
          </cell>
          <cell r="L108">
            <v>0</v>
          </cell>
          <cell r="M108">
            <v>35</v>
          </cell>
          <cell r="N108">
            <v>3.5</v>
          </cell>
          <cell r="O108">
            <v>16211.22</v>
          </cell>
          <cell r="P108">
            <v>63.1</v>
          </cell>
        </row>
        <row r="109">
          <cell r="A109">
            <v>34.001</v>
          </cell>
          <cell r="C109" t="str">
            <v>SKIN ULCERS                                                                       </v>
          </cell>
          <cell r="D109">
            <v>0</v>
          </cell>
          <cell r="E109">
            <v>11</v>
          </cell>
          <cell r="F109">
            <v>9</v>
          </cell>
          <cell r="G109">
            <v>14</v>
          </cell>
          <cell r="H109">
            <v>0</v>
          </cell>
          <cell r="I109">
            <v>34</v>
          </cell>
          <cell r="J109">
            <v>18</v>
          </cell>
          <cell r="K109">
            <v>16</v>
          </cell>
          <cell r="L109">
            <v>0</v>
          </cell>
          <cell r="M109">
            <v>34</v>
          </cell>
          <cell r="N109">
            <v>7.6</v>
          </cell>
          <cell r="O109">
            <v>23143.53</v>
          </cell>
          <cell r="P109">
            <v>57.7</v>
          </cell>
        </row>
        <row r="110">
          <cell r="A110">
            <v>34.001</v>
          </cell>
          <cell r="C110" t="str">
            <v>OSTEOMYELITIS, SEPTIC ARTHRITIS &amp; OTHER MUSCULOSKELETAL INFECTIONS                </v>
          </cell>
          <cell r="D110">
            <v>0</v>
          </cell>
          <cell r="E110">
            <v>8</v>
          </cell>
          <cell r="F110">
            <v>15</v>
          </cell>
          <cell r="G110">
            <v>11</v>
          </cell>
          <cell r="H110">
            <v>0</v>
          </cell>
          <cell r="I110">
            <v>34</v>
          </cell>
          <cell r="J110">
            <v>24</v>
          </cell>
          <cell r="K110">
            <v>10</v>
          </cell>
          <cell r="L110">
            <v>0</v>
          </cell>
          <cell r="M110">
            <v>34</v>
          </cell>
          <cell r="N110">
            <v>6.9</v>
          </cell>
          <cell r="O110">
            <v>22697.91</v>
          </cell>
          <cell r="P110">
            <v>57.6</v>
          </cell>
        </row>
        <row r="111">
          <cell r="A111">
            <v>34</v>
          </cell>
          <cell r="C111" t="str">
            <v>ALCOHOLIC LIVER DISEASE                                                           </v>
          </cell>
          <cell r="D111">
            <v>0</v>
          </cell>
          <cell r="E111">
            <v>1</v>
          </cell>
          <cell r="F111">
            <v>32</v>
          </cell>
          <cell r="G111">
            <v>1</v>
          </cell>
          <cell r="H111">
            <v>0</v>
          </cell>
          <cell r="I111">
            <v>34</v>
          </cell>
          <cell r="J111">
            <v>27</v>
          </cell>
          <cell r="K111">
            <v>7</v>
          </cell>
          <cell r="L111">
            <v>0</v>
          </cell>
          <cell r="M111">
            <v>34</v>
          </cell>
          <cell r="N111">
            <v>7.3</v>
          </cell>
          <cell r="O111">
            <v>24662.53</v>
          </cell>
          <cell r="P111">
            <v>53.2</v>
          </cell>
        </row>
        <row r="112">
          <cell r="A112">
            <v>33</v>
          </cell>
          <cell r="C112" t="str">
            <v>MASTECTOMY PROCEDURES                                                             </v>
          </cell>
          <cell r="D112">
            <v>0</v>
          </cell>
          <cell r="E112">
            <v>3</v>
          </cell>
          <cell r="F112">
            <v>10</v>
          </cell>
          <cell r="G112">
            <v>20</v>
          </cell>
          <cell r="H112">
            <v>0</v>
          </cell>
          <cell r="I112">
            <v>33</v>
          </cell>
          <cell r="J112">
            <v>1</v>
          </cell>
          <cell r="K112">
            <v>32</v>
          </cell>
          <cell r="L112">
            <v>0</v>
          </cell>
          <cell r="M112">
            <v>33</v>
          </cell>
          <cell r="N112">
            <v>2.1</v>
          </cell>
          <cell r="O112">
            <v>17680.97</v>
          </cell>
          <cell r="P112">
            <v>67</v>
          </cell>
        </row>
        <row r="113">
          <cell r="A113">
            <v>32</v>
          </cell>
          <cell r="C113" t="str">
            <v>NONEXTENSIVE PROCEDURE UNRELATED TO PRINCIPAL DIAGNOSIS                           </v>
          </cell>
          <cell r="D113">
            <v>4</v>
          </cell>
          <cell r="E113">
            <v>4</v>
          </cell>
          <cell r="F113">
            <v>8</v>
          </cell>
          <cell r="G113">
            <v>16</v>
          </cell>
          <cell r="H113">
            <v>0</v>
          </cell>
          <cell r="I113">
            <v>32</v>
          </cell>
          <cell r="J113">
            <v>22</v>
          </cell>
          <cell r="K113">
            <v>10</v>
          </cell>
          <cell r="L113">
            <v>0</v>
          </cell>
          <cell r="M113">
            <v>32</v>
          </cell>
          <cell r="N113">
            <v>7.3</v>
          </cell>
          <cell r="O113">
            <v>32074.44</v>
          </cell>
          <cell r="P113">
            <v>57.7</v>
          </cell>
        </row>
        <row r="114">
          <cell r="A114">
            <v>31.001</v>
          </cell>
          <cell r="C114" t="str">
            <v>HERNIA PROCEDURES EXCEPT INGUINAL, FEMORAL &amp; UMBILICAL                            </v>
          </cell>
          <cell r="D114">
            <v>0</v>
          </cell>
          <cell r="E114">
            <v>5</v>
          </cell>
          <cell r="F114">
            <v>15</v>
          </cell>
          <cell r="G114">
            <v>11</v>
          </cell>
          <cell r="H114">
            <v>0</v>
          </cell>
          <cell r="I114">
            <v>31</v>
          </cell>
          <cell r="J114">
            <v>13</v>
          </cell>
          <cell r="K114">
            <v>18</v>
          </cell>
          <cell r="L114">
            <v>0</v>
          </cell>
          <cell r="M114">
            <v>31</v>
          </cell>
          <cell r="N114">
            <v>5.7</v>
          </cell>
          <cell r="O114">
            <v>26511.46</v>
          </cell>
          <cell r="P114">
            <v>58.1</v>
          </cell>
        </row>
        <row r="115">
          <cell r="A115">
            <v>31</v>
          </cell>
          <cell r="C115" t="str">
            <v>MALFUNCTION,REACTION,COMPLICATION OF CARDIAC/VASC DEVICE OR PROCEDURE             </v>
          </cell>
          <cell r="D115">
            <v>0</v>
          </cell>
          <cell r="E115">
            <v>12</v>
          </cell>
          <cell r="F115">
            <v>11</v>
          </cell>
          <cell r="G115">
            <v>8</v>
          </cell>
          <cell r="H115">
            <v>0</v>
          </cell>
          <cell r="I115">
            <v>31</v>
          </cell>
          <cell r="J115">
            <v>12</v>
          </cell>
          <cell r="K115">
            <v>19</v>
          </cell>
          <cell r="L115">
            <v>0</v>
          </cell>
          <cell r="M115">
            <v>31</v>
          </cell>
          <cell r="N115">
            <v>4.6</v>
          </cell>
          <cell r="O115">
            <v>20514.83</v>
          </cell>
          <cell r="P115">
            <v>53</v>
          </cell>
        </row>
        <row r="116">
          <cell r="A116">
            <v>30</v>
          </cell>
          <cell r="C116" t="str">
            <v>CONTUSION, OPEN WOUND &amp; OTHER TRAUMA TO SKIN &amp; SUBCUTANEOUS TISSUE                </v>
          </cell>
          <cell r="D116">
            <v>1</v>
          </cell>
          <cell r="E116">
            <v>6</v>
          </cell>
          <cell r="F116">
            <v>9</v>
          </cell>
          <cell r="G116">
            <v>14</v>
          </cell>
          <cell r="H116">
            <v>0</v>
          </cell>
          <cell r="I116">
            <v>30</v>
          </cell>
          <cell r="J116">
            <v>17</v>
          </cell>
          <cell r="K116">
            <v>13</v>
          </cell>
          <cell r="L116">
            <v>0</v>
          </cell>
          <cell r="M116">
            <v>30</v>
          </cell>
          <cell r="N116">
            <v>3.1</v>
          </cell>
          <cell r="O116">
            <v>14795.8</v>
          </cell>
          <cell r="P116">
            <v>59.7</v>
          </cell>
        </row>
        <row r="117">
          <cell r="A117">
            <v>29.001</v>
          </cell>
          <cell r="C117" t="str">
            <v>FEVER                                                                             </v>
          </cell>
          <cell r="D117">
            <v>13</v>
          </cell>
          <cell r="E117">
            <v>5</v>
          </cell>
          <cell r="F117">
            <v>3</v>
          </cell>
          <cell r="G117">
            <v>8</v>
          </cell>
          <cell r="H117">
            <v>0</v>
          </cell>
          <cell r="I117">
            <v>29</v>
          </cell>
          <cell r="J117">
            <v>13</v>
          </cell>
          <cell r="K117">
            <v>16</v>
          </cell>
          <cell r="L117">
            <v>0</v>
          </cell>
          <cell r="M117">
            <v>29</v>
          </cell>
          <cell r="N117">
            <v>3.1</v>
          </cell>
          <cell r="O117">
            <v>9205.64</v>
          </cell>
          <cell r="P117">
            <v>33.6</v>
          </cell>
        </row>
        <row r="118">
          <cell r="A118">
            <v>29.001</v>
          </cell>
          <cell r="C118" t="str">
            <v>THREATENED ABORTION                                                               </v>
          </cell>
          <cell r="D118">
            <v>1</v>
          </cell>
          <cell r="E118">
            <v>28</v>
          </cell>
          <cell r="F118">
            <v>0</v>
          </cell>
          <cell r="G118">
            <v>0</v>
          </cell>
          <cell r="H118">
            <v>0</v>
          </cell>
          <cell r="I118">
            <v>29</v>
          </cell>
          <cell r="J118">
            <v>0</v>
          </cell>
          <cell r="K118">
            <v>29</v>
          </cell>
          <cell r="L118">
            <v>0</v>
          </cell>
          <cell r="M118">
            <v>29</v>
          </cell>
          <cell r="N118">
            <v>3.7</v>
          </cell>
          <cell r="O118">
            <v>6420.1</v>
          </cell>
          <cell r="P118">
            <v>24.8</v>
          </cell>
        </row>
        <row r="119">
          <cell r="A119">
            <v>29.001</v>
          </cell>
          <cell r="C119" t="str">
            <v>VAGINAL DELIVERY W STERILIZATION &amp;/OR D&amp;C                                         </v>
          </cell>
          <cell r="D119">
            <v>0</v>
          </cell>
          <cell r="E119">
            <v>29</v>
          </cell>
          <cell r="F119">
            <v>0</v>
          </cell>
          <cell r="G119">
            <v>0</v>
          </cell>
          <cell r="H119">
            <v>0</v>
          </cell>
          <cell r="I119">
            <v>29</v>
          </cell>
          <cell r="J119">
            <v>0</v>
          </cell>
          <cell r="K119">
            <v>29</v>
          </cell>
          <cell r="L119">
            <v>0</v>
          </cell>
          <cell r="M119">
            <v>29</v>
          </cell>
          <cell r="N119">
            <v>2.8</v>
          </cell>
          <cell r="O119">
            <v>12029.21</v>
          </cell>
          <cell r="P119">
            <v>28.9</v>
          </cell>
        </row>
        <row r="120">
          <cell r="A120">
            <v>29</v>
          </cell>
          <cell r="C120" t="str">
            <v>DORSAL &amp; LUMBAR FUSION PROC EXCEPT FOR CURVATURE OF BACK                          </v>
          </cell>
          <cell r="D120">
            <v>0</v>
          </cell>
          <cell r="E120">
            <v>5</v>
          </cell>
          <cell r="F120">
            <v>11</v>
          </cell>
          <cell r="G120">
            <v>13</v>
          </cell>
          <cell r="H120">
            <v>0</v>
          </cell>
          <cell r="I120">
            <v>29</v>
          </cell>
          <cell r="J120">
            <v>14</v>
          </cell>
          <cell r="K120">
            <v>15</v>
          </cell>
          <cell r="L120">
            <v>0</v>
          </cell>
          <cell r="M120">
            <v>29</v>
          </cell>
          <cell r="N120">
            <v>3.4</v>
          </cell>
          <cell r="O120">
            <v>71204.04</v>
          </cell>
          <cell r="P120">
            <v>58.2</v>
          </cell>
        </row>
        <row r="121">
          <cell r="A121">
            <v>28</v>
          </cell>
          <cell r="C121" t="str">
            <v>MALIGNANCY OF HEPATOBILIARY SYSTEM &amp; PANCREAS                                     </v>
          </cell>
          <cell r="D121">
            <v>0</v>
          </cell>
          <cell r="E121">
            <v>2</v>
          </cell>
          <cell r="F121">
            <v>10</v>
          </cell>
          <cell r="G121">
            <v>16</v>
          </cell>
          <cell r="H121">
            <v>0</v>
          </cell>
          <cell r="I121">
            <v>28</v>
          </cell>
          <cell r="J121">
            <v>14</v>
          </cell>
          <cell r="K121">
            <v>14</v>
          </cell>
          <cell r="L121">
            <v>0</v>
          </cell>
          <cell r="M121">
            <v>28</v>
          </cell>
          <cell r="N121">
            <v>5.1</v>
          </cell>
          <cell r="O121">
            <v>20936.51</v>
          </cell>
          <cell r="P121">
            <v>66.5</v>
          </cell>
        </row>
        <row r="122">
          <cell r="A122">
            <v>27</v>
          </cell>
          <cell r="C122" t="str">
            <v>MAJOR RESPIRATORY &amp; CHEST PROCEDURES                                              </v>
          </cell>
          <cell r="D122">
            <v>0</v>
          </cell>
          <cell r="E122">
            <v>2</v>
          </cell>
          <cell r="F122">
            <v>11</v>
          </cell>
          <cell r="G122">
            <v>14</v>
          </cell>
          <cell r="H122">
            <v>0</v>
          </cell>
          <cell r="I122">
            <v>27</v>
          </cell>
          <cell r="J122">
            <v>13</v>
          </cell>
          <cell r="K122">
            <v>14</v>
          </cell>
          <cell r="L122">
            <v>0</v>
          </cell>
          <cell r="M122">
            <v>27</v>
          </cell>
          <cell r="N122">
            <v>13.5</v>
          </cell>
          <cell r="O122">
            <v>77091.21</v>
          </cell>
          <cell r="P122">
            <v>65</v>
          </cell>
        </row>
        <row r="123">
          <cell r="A123">
            <v>26.001</v>
          </cell>
          <cell r="C123" t="str">
            <v>NEONATE BWT 1500-1999G W OR W/O OTHER SIGNIFICANT CONDITION                       </v>
          </cell>
          <cell r="D123">
            <v>26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26</v>
          </cell>
          <cell r="J123">
            <v>13</v>
          </cell>
          <cell r="K123">
            <v>13</v>
          </cell>
          <cell r="L123">
            <v>0</v>
          </cell>
          <cell r="M123">
            <v>26</v>
          </cell>
          <cell r="N123">
            <v>12.6</v>
          </cell>
          <cell r="O123">
            <v>20975.85</v>
          </cell>
          <cell r="P123">
            <v>0</v>
          </cell>
        </row>
        <row r="124">
          <cell r="A124">
            <v>26</v>
          </cell>
          <cell r="C124" t="str">
            <v>CHOLECYSTECTOMY EXCEPT LAPAROSCOPIC                                               </v>
          </cell>
          <cell r="D124">
            <v>0</v>
          </cell>
          <cell r="E124">
            <v>4</v>
          </cell>
          <cell r="F124">
            <v>7</v>
          </cell>
          <cell r="G124">
            <v>15</v>
          </cell>
          <cell r="H124">
            <v>0</v>
          </cell>
          <cell r="I124">
            <v>26</v>
          </cell>
          <cell r="J124">
            <v>16</v>
          </cell>
          <cell r="K124">
            <v>10</v>
          </cell>
          <cell r="L124">
            <v>0</v>
          </cell>
          <cell r="M124">
            <v>26</v>
          </cell>
          <cell r="N124">
            <v>6.7</v>
          </cell>
          <cell r="O124">
            <v>35307.4</v>
          </cell>
          <cell r="P124">
            <v>62.2</v>
          </cell>
        </row>
        <row r="125">
          <cell r="A125">
            <v>25</v>
          </cell>
          <cell r="C125" t="str">
            <v>AMPUTATION OF LOWER LIMB EXCEPT TOES                                              </v>
          </cell>
          <cell r="D125">
            <v>0</v>
          </cell>
          <cell r="E125">
            <v>1</v>
          </cell>
          <cell r="F125">
            <v>16</v>
          </cell>
          <cell r="G125">
            <v>8</v>
          </cell>
          <cell r="H125">
            <v>0</v>
          </cell>
          <cell r="I125">
            <v>25</v>
          </cell>
          <cell r="J125">
            <v>19</v>
          </cell>
          <cell r="K125">
            <v>6</v>
          </cell>
          <cell r="L125">
            <v>0</v>
          </cell>
          <cell r="M125">
            <v>25</v>
          </cell>
          <cell r="N125">
            <v>14</v>
          </cell>
          <cell r="O125">
            <v>47632.05</v>
          </cell>
          <cell r="P125">
            <v>60.5</v>
          </cell>
        </row>
        <row r="126">
          <cell r="A126">
            <v>23.001</v>
          </cell>
          <cell r="C126" t="str">
            <v>TOXIC EFFECTS OF NON-MEDICINAL SUBSTANCES                                         </v>
          </cell>
          <cell r="D126">
            <v>1</v>
          </cell>
          <cell r="E126">
            <v>8</v>
          </cell>
          <cell r="F126">
            <v>12</v>
          </cell>
          <cell r="G126">
            <v>2</v>
          </cell>
          <cell r="H126">
            <v>0</v>
          </cell>
          <cell r="I126">
            <v>23</v>
          </cell>
          <cell r="J126">
            <v>13</v>
          </cell>
          <cell r="K126">
            <v>10</v>
          </cell>
          <cell r="L126">
            <v>0</v>
          </cell>
          <cell r="M126">
            <v>23</v>
          </cell>
          <cell r="N126">
            <v>3</v>
          </cell>
          <cell r="O126">
            <v>18257.34</v>
          </cell>
          <cell r="P126">
            <v>41.9</v>
          </cell>
        </row>
        <row r="127">
          <cell r="A127">
            <v>23.001</v>
          </cell>
          <cell r="C127" t="str">
            <v>POSTPARTUM &amp; POST ABORTION DIAGNOSES W/O PROCEDURE                                </v>
          </cell>
          <cell r="D127">
            <v>2</v>
          </cell>
          <cell r="E127">
            <v>21</v>
          </cell>
          <cell r="F127">
            <v>0</v>
          </cell>
          <cell r="G127">
            <v>0</v>
          </cell>
          <cell r="H127">
            <v>0</v>
          </cell>
          <cell r="I127">
            <v>23</v>
          </cell>
          <cell r="J127">
            <v>0</v>
          </cell>
          <cell r="K127">
            <v>23</v>
          </cell>
          <cell r="L127">
            <v>0</v>
          </cell>
          <cell r="M127">
            <v>23</v>
          </cell>
          <cell r="N127">
            <v>2.7</v>
          </cell>
          <cell r="O127">
            <v>11096.76</v>
          </cell>
          <cell r="P127">
            <v>27.6</v>
          </cell>
        </row>
        <row r="128">
          <cell r="A128">
            <v>23.001</v>
          </cell>
          <cell r="C128" t="str">
            <v>CERVICAL SPINAL FUSION &amp; OTHER BACK/NECK PROC EXC DISC EXCIS/ DECOMP              </v>
          </cell>
          <cell r="D128">
            <v>0</v>
          </cell>
          <cell r="E128">
            <v>4</v>
          </cell>
          <cell r="F128">
            <v>7</v>
          </cell>
          <cell r="G128">
            <v>12</v>
          </cell>
          <cell r="H128">
            <v>0</v>
          </cell>
          <cell r="I128">
            <v>23</v>
          </cell>
          <cell r="J128">
            <v>10</v>
          </cell>
          <cell r="K128">
            <v>13</v>
          </cell>
          <cell r="L128">
            <v>0</v>
          </cell>
          <cell r="M128">
            <v>23</v>
          </cell>
          <cell r="N128">
            <v>2.7</v>
          </cell>
          <cell r="O128">
            <v>45421.97</v>
          </cell>
          <cell r="P128">
            <v>60.7</v>
          </cell>
        </row>
        <row r="129">
          <cell r="A129">
            <v>23.001</v>
          </cell>
          <cell r="C129" t="str">
            <v>INGUINAL, FEMORAL &amp; UMBILICAL HERNIA PROCEDURES                                   </v>
          </cell>
          <cell r="D129">
            <v>0</v>
          </cell>
          <cell r="E129">
            <v>4</v>
          </cell>
          <cell r="F129">
            <v>6</v>
          </cell>
          <cell r="G129">
            <v>13</v>
          </cell>
          <cell r="H129">
            <v>0</v>
          </cell>
          <cell r="I129">
            <v>23</v>
          </cell>
          <cell r="J129">
            <v>14</v>
          </cell>
          <cell r="K129">
            <v>9</v>
          </cell>
          <cell r="L129">
            <v>0</v>
          </cell>
          <cell r="M129">
            <v>23</v>
          </cell>
          <cell r="N129">
            <v>4.2</v>
          </cell>
          <cell r="O129">
            <v>25082.98</v>
          </cell>
          <cell r="P129">
            <v>61.4</v>
          </cell>
        </row>
        <row r="130">
          <cell r="A130">
            <v>23.001</v>
          </cell>
          <cell r="C130" t="str">
            <v>OTHER EAR, NOSE, MOUTH,THROAT &amp; CRANIAL/FACIAL DIAGNOSES                          </v>
          </cell>
          <cell r="D130">
            <v>1</v>
          </cell>
          <cell r="E130">
            <v>4</v>
          </cell>
          <cell r="F130">
            <v>7</v>
          </cell>
          <cell r="G130">
            <v>11</v>
          </cell>
          <cell r="H130">
            <v>0</v>
          </cell>
          <cell r="I130">
            <v>23</v>
          </cell>
          <cell r="J130">
            <v>10</v>
          </cell>
          <cell r="K130">
            <v>13</v>
          </cell>
          <cell r="L130">
            <v>0</v>
          </cell>
          <cell r="M130">
            <v>23</v>
          </cell>
          <cell r="N130">
            <v>3.8</v>
          </cell>
          <cell r="O130">
            <v>15164.59</v>
          </cell>
          <cell r="P130">
            <v>60.6</v>
          </cell>
        </row>
        <row r="131">
          <cell r="A131">
            <v>23</v>
          </cell>
          <cell r="C131" t="str">
            <v>VERTIGO &amp; OTHER LABYRINTH DISORDERS                                               </v>
          </cell>
          <cell r="D131">
            <v>0</v>
          </cell>
          <cell r="E131">
            <v>2</v>
          </cell>
          <cell r="F131">
            <v>5</v>
          </cell>
          <cell r="G131">
            <v>16</v>
          </cell>
          <cell r="H131">
            <v>0</v>
          </cell>
          <cell r="I131">
            <v>23</v>
          </cell>
          <cell r="J131">
            <v>13</v>
          </cell>
          <cell r="K131">
            <v>10</v>
          </cell>
          <cell r="L131">
            <v>0</v>
          </cell>
          <cell r="M131">
            <v>23</v>
          </cell>
          <cell r="N131">
            <v>3.1</v>
          </cell>
          <cell r="O131">
            <v>12461.19</v>
          </cell>
          <cell r="P131">
            <v>68.3</v>
          </cell>
        </row>
        <row r="132">
          <cell r="A132">
            <v>22.001</v>
          </cell>
          <cell r="C132" t="str">
            <v>OTHER COMPLICATIONS OF TREATMENT                                                  </v>
          </cell>
          <cell r="D132">
            <v>1</v>
          </cell>
          <cell r="E132">
            <v>6</v>
          </cell>
          <cell r="F132">
            <v>7</v>
          </cell>
          <cell r="G132">
            <v>8</v>
          </cell>
          <cell r="H132">
            <v>0</v>
          </cell>
          <cell r="I132">
            <v>22</v>
          </cell>
          <cell r="J132">
            <v>8</v>
          </cell>
          <cell r="K132">
            <v>14</v>
          </cell>
          <cell r="L132">
            <v>0</v>
          </cell>
          <cell r="M132">
            <v>22</v>
          </cell>
          <cell r="N132">
            <v>3.6</v>
          </cell>
          <cell r="O132">
            <v>15159.95</v>
          </cell>
          <cell r="P132">
            <v>53</v>
          </cell>
        </row>
        <row r="133">
          <cell r="A133">
            <v>22.001</v>
          </cell>
          <cell r="C133" t="str">
            <v>OTHER SKIN, SUBCUTANEOUS TISSUE &amp; RELATED PROCEDURES                              </v>
          </cell>
          <cell r="D133">
            <v>0</v>
          </cell>
          <cell r="E133">
            <v>9</v>
          </cell>
          <cell r="F133">
            <v>6</v>
          </cell>
          <cell r="G133">
            <v>7</v>
          </cell>
          <cell r="H133">
            <v>0</v>
          </cell>
          <cell r="I133">
            <v>22</v>
          </cell>
          <cell r="J133">
            <v>16</v>
          </cell>
          <cell r="K133">
            <v>6</v>
          </cell>
          <cell r="L133">
            <v>0</v>
          </cell>
          <cell r="M133">
            <v>22</v>
          </cell>
          <cell r="N133">
            <v>9.3</v>
          </cell>
          <cell r="O133">
            <v>30590.9</v>
          </cell>
          <cell r="P133">
            <v>54.2</v>
          </cell>
        </row>
        <row r="134">
          <cell r="A134">
            <v>22</v>
          </cell>
          <cell r="C134" t="str">
            <v>MAJOR STOMACH, ESOPHAGEAL &amp; DUODENAL PROCEDURES                                   </v>
          </cell>
          <cell r="D134">
            <v>0</v>
          </cell>
          <cell r="E134">
            <v>4</v>
          </cell>
          <cell r="F134">
            <v>6</v>
          </cell>
          <cell r="G134">
            <v>12</v>
          </cell>
          <cell r="H134">
            <v>0</v>
          </cell>
          <cell r="I134">
            <v>22</v>
          </cell>
          <cell r="J134">
            <v>9</v>
          </cell>
          <cell r="K134">
            <v>13</v>
          </cell>
          <cell r="L134">
            <v>0</v>
          </cell>
          <cell r="M134">
            <v>22</v>
          </cell>
          <cell r="N134">
            <v>10.6</v>
          </cell>
          <cell r="O134">
            <v>54097.73</v>
          </cell>
          <cell r="P134">
            <v>62.5</v>
          </cell>
        </row>
        <row r="135">
          <cell r="A135">
            <v>21.001</v>
          </cell>
          <cell r="C135" t="str">
            <v>HIV W MAJOR HIV RELATED CONDITION                                                 </v>
          </cell>
          <cell r="D135">
            <v>0</v>
          </cell>
          <cell r="E135">
            <v>8</v>
          </cell>
          <cell r="F135">
            <v>12</v>
          </cell>
          <cell r="G135">
            <v>1</v>
          </cell>
          <cell r="H135">
            <v>0</v>
          </cell>
          <cell r="I135">
            <v>21</v>
          </cell>
          <cell r="J135">
            <v>11</v>
          </cell>
          <cell r="K135">
            <v>10</v>
          </cell>
          <cell r="L135">
            <v>0</v>
          </cell>
          <cell r="M135">
            <v>21</v>
          </cell>
          <cell r="N135">
            <v>6.3</v>
          </cell>
          <cell r="O135">
            <v>23416.29</v>
          </cell>
          <cell r="P135">
            <v>47.3</v>
          </cell>
        </row>
        <row r="136">
          <cell r="A136">
            <v>21.001</v>
          </cell>
          <cell r="C136" t="str">
            <v>OTHER INFECTIOUS &amp; PARASITIC DISEASES                                             </v>
          </cell>
          <cell r="D136">
            <v>3</v>
          </cell>
          <cell r="E136">
            <v>6</v>
          </cell>
          <cell r="F136">
            <v>5</v>
          </cell>
          <cell r="G136">
            <v>7</v>
          </cell>
          <cell r="H136">
            <v>0</v>
          </cell>
          <cell r="I136">
            <v>21</v>
          </cell>
          <cell r="J136">
            <v>15</v>
          </cell>
          <cell r="K136">
            <v>6</v>
          </cell>
          <cell r="L136">
            <v>0</v>
          </cell>
          <cell r="M136">
            <v>21</v>
          </cell>
          <cell r="N136">
            <v>7.2</v>
          </cell>
          <cell r="O136">
            <v>28695.3</v>
          </cell>
          <cell r="P136">
            <v>47.2</v>
          </cell>
        </row>
        <row r="137">
          <cell r="A137">
            <v>21.001</v>
          </cell>
          <cell r="C137" t="str">
            <v>NEONATE BWT 1500-1999G W RESP DIST SYND/OTH MAJ RESP COND                         </v>
          </cell>
          <cell r="D137">
            <v>21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21</v>
          </cell>
          <cell r="J137">
            <v>10</v>
          </cell>
          <cell r="K137">
            <v>11</v>
          </cell>
          <cell r="L137">
            <v>0</v>
          </cell>
          <cell r="M137">
            <v>21</v>
          </cell>
          <cell r="N137">
            <v>21.7</v>
          </cell>
          <cell r="O137">
            <v>43658.15</v>
          </cell>
          <cell r="P137">
            <v>0</v>
          </cell>
        </row>
        <row r="138">
          <cell r="A138">
            <v>21</v>
          </cell>
          <cell r="C138" t="str">
            <v>VIRAL MENINGITIS                                                                  </v>
          </cell>
          <cell r="D138">
            <v>5</v>
          </cell>
          <cell r="E138">
            <v>8</v>
          </cell>
          <cell r="F138">
            <v>6</v>
          </cell>
          <cell r="G138">
            <v>2</v>
          </cell>
          <cell r="H138">
            <v>0</v>
          </cell>
          <cell r="I138">
            <v>21</v>
          </cell>
          <cell r="J138">
            <v>10</v>
          </cell>
          <cell r="K138">
            <v>11</v>
          </cell>
          <cell r="L138">
            <v>0</v>
          </cell>
          <cell r="M138">
            <v>21</v>
          </cell>
          <cell r="N138">
            <v>4.9</v>
          </cell>
          <cell r="O138">
            <v>24409.02</v>
          </cell>
          <cell r="P138">
            <v>34.9</v>
          </cell>
        </row>
        <row r="139">
          <cell r="A139">
            <v>20.001</v>
          </cell>
          <cell r="C139" t="str">
            <v>OTHER SKIN, SUBCUTANEOUS TISSUE &amp; BREAST DISORDERS                                </v>
          </cell>
          <cell r="D139">
            <v>5</v>
          </cell>
          <cell r="E139">
            <v>4</v>
          </cell>
          <cell r="F139">
            <v>4</v>
          </cell>
          <cell r="G139">
            <v>7</v>
          </cell>
          <cell r="H139">
            <v>0</v>
          </cell>
          <cell r="I139">
            <v>20</v>
          </cell>
          <cell r="J139">
            <v>7</v>
          </cell>
          <cell r="K139">
            <v>13</v>
          </cell>
          <cell r="L139">
            <v>0</v>
          </cell>
          <cell r="M139">
            <v>20</v>
          </cell>
          <cell r="N139">
            <v>3.5</v>
          </cell>
          <cell r="O139">
            <v>11830.82</v>
          </cell>
          <cell r="P139">
            <v>46.7</v>
          </cell>
        </row>
        <row r="140">
          <cell r="A140">
            <v>20</v>
          </cell>
          <cell r="C140" t="str">
            <v>MALFUNCTION, REACTION, COMPLIC OF ORTHOPEDIC DEVICE OR PROCEDURE                  </v>
          </cell>
          <cell r="D140">
            <v>0</v>
          </cell>
          <cell r="E140">
            <v>1</v>
          </cell>
          <cell r="F140">
            <v>10</v>
          </cell>
          <cell r="G140">
            <v>9</v>
          </cell>
          <cell r="H140">
            <v>0</v>
          </cell>
          <cell r="I140">
            <v>20</v>
          </cell>
          <cell r="J140">
            <v>14</v>
          </cell>
          <cell r="K140">
            <v>6</v>
          </cell>
          <cell r="L140">
            <v>0</v>
          </cell>
          <cell r="M140">
            <v>20</v>
          </cell>
          <cell r="N140">
            <v>6.3</v>
          </cell>
          <cell r="O140">
            <v>21164.14</v>
          </cell>
          <cell r="P140">
            <v>66</v>
          </cell>
        </row>
        <row r="141">
          <cell r="A141">
            <v>19.001</v>
          </cell>
          <cell r="C141" t="str">
            <v>VIRAL ILLNESS                                                                     </v>
          </cell>
          <cell r="D141">
            <v>3</v>
          </cell>
          <cell r="E141">
            <v>11</v>
          </cell>
          <cell r="F141">
            <v>2</v>
          </cell>
          <cell r="G141">
            <v>3</v>
          </cell>
          <cell r="H141">
            <v>0</v>
          </cell>
          <cell r="I141">
            <v>19</v>
          </cell>
          <cell r="J141">
            <v>11</v>
          </cell>
          <cell r="K141">
            <v>8</v>
          </cell>
          <cell r="L141">
            <v>0</v>
          </cell>
          <cell r="M141">
            <v>19</v>
          </cell>
          <cell r="N141">
            <v>3.9</v>
          </cell>
          <cell r="O141">
            <v>13974.69</v>
          </cell>
          <cell r="P141">
            <v>33.3</v>
          </cell>
        </row>
        <row r="142">
          <cell r="A142">
            <v>19.001</v>
          </cell>
          <cell r="C142" t="str">
            <v>MALE REPRODUCTIVE SYSTEM DIAGNOSES EXCEPT MALIGNANCY                              </v>
          </cell>
          <cell r="D142">
            <v>0</v>
          </cell>
          <cell r="E142">
            <v>3</v>
          </cell>
          <cell r="F142">
            <v>7</v>
          </cell>
          <cell r="G142">
            <v>9</v>
          </cell>
          <cell r="H142">
            <v>0</v>
          </cell>
          <cell r="I142">
            <v>19</v>
          </cell>
          <cell r="J142">
            <v>19</v>
          </cell>
          <cell r="K142">
            <v>0</v>
          </cell>
          <cell r="L142">
            <v>0</v>
          </cell>
          <cell r="M142">
            <v>19</v>
          </cell>
          <cell r="N142">
            <v>7.1</v>
          </cell>
          <cell r="O142">
            <v>24167.12</v>
          </cell>
          <cell r="P142">
            <v>60.6</v>
          </cell>
        </row>
        <row r="143">
          <cell r="A143">
            <v>19.001</v>
          </cell>
          <cell r="C143" t="str">
            <v>THYROID, PARATHYROID &amp; THYROGLOSSAL PROCEDURES                                    </v>
          </cell>
          <cell r="D143">
            <v>0</v>
          </cell>
          <cell r="E143">
            <v>5</v>
          </cell>
          <cell r="F143">
            <v>8</v>
          </cell>
          <cell r="G143">
            <v>6</v>
          </cell>
          <cell r="H143">
            <v>0</v>
          </cell>
          <cell r="I143">
            <v>19</v>
          </cell>
          <cell r="J143">
            <v>4</v>
          </cell>
          <cell r="K143">
            <v>15</v>
          </cell>
          <cell r="L143">
            <v>0</v>
          </cell>
          <cell r="M143">
            <v>19</v>
          </cell>
          <cell r="N143">
            <v>3.7</v>
          </cell>
          <cell r="O143">
            <v>29019.98</v>
          </cell>
          <cell r="P143">
            <v>55.1</v>
          </cell>
        </row>
        <row r="144">
          <cell r="A144">
            <v>19</v>
          </cell>
          <cell r="C144" t="str">
            <v>MUSCULOSKELETAL MALIGNANCY &amp; PATHOL FRACTURE D/T MUSCSKEL MALIG                   </v>
          </cell>
          <cell r="D144">
            <v>0</v>
          </cell>
          <cell r="E144">
            <v>1</v>
          </cell>
          <cell r="F144">
            <v>7</v>
          </cell>
          <cell r="G144">
            <v>11</v>
          </cell>
          <cell r="H144">
            <v>0</v>
          </cell>
          <cell r="I144">
            <v>19</v>
          </cell>
          <cell r="J144">
            <v>13</v>
          </cell>
          <cell r="K144">
            <v>6</v>
          </cell>
          <cell r="L144">
            <v>0</v>
          </cell>
          <cell r="M144">
            <v>19</v>
          </cell>
          <cell r="N144">
            <v>4.8</v>
          </cell>
          <cell r="O144">
            <v>23625.93</v>
          </cell>
          <cell r="P144">
            <v>66.1</v>
          </cell>
        </row>
        <row r="145">
          <cell r="A145">
            <v>18.001</v>
          </cell>
          <cell r="C145" t="str">
            <v>EXTENSIVE PROCEDURE UNRELATED TO PRINCIPAL DIAGNOSIS                              </v>
          </cell>
          <cell r="D145">
            <v>0</v>
          </cell>
          <cell r="E145">
            <v>0</v>
          </cell>
          <cell r="F145">
            <v>6</v>
          </cell>
          <cell r="G145">
            <v>12</v>
          </cell>
          <cell r="H145">
            <v>0</v>
          </cell>
          <cell r="I145">
            <v>18</v>
          </cell>
          <cell r="J145">
            <v>10</v>
          </cell>
          <cell r="K145">
            <v>8</v>
          </cell>
          <cell r="L145">
            <v>0</v>
          </cell>
          <cell r="M145">
            <v>18</v>
          </cell>
          <cell r="N145">
            <v>16.3</v>
          </cell>
          <cell r="O145">
            <v>86808.5</v>
          </cell>
          <cell r="P145">
            <v>69.7</v>
          </cell>
        </row>
        <row r="146">
          <cell r="A146">
            <v>18.001</v>
          </cell>
          <cell r="C146" t="str">
            <v>LYMPHOMA, MYELOMA &amp; NON-ACUTE LEUKEMIA                                            </v>
          </cell>
          <cell r="D146">
            <v>0</v>
          </cell>
          <cell r="E146">
            <v>2</v>
          </cell>
          <cell r="F146">
            <v>11</v>
          </cell>
          <cell r="G146">
            <v>5</v>
          </cell>
          <cell r="H146">
            <v>0</v>
          </cell>
          <cell r="I146">
            <v>18</v>
          </cell>
          <cell r="J146">
            <v>10</v>
          </cell>
          <cell r="K146">
            <v>8</v>
          </cell>
          <cell r="L146">
            <v>0</v>
          </cell>
          <cell r="M146">
            <v>18</v>
          </cell>
          <cell r="N146">
            <v>10.1</v>
          </cell>
          <cell r="O146">
            <v>36681.91</v>
          </cell>
          <cell r="P146">
            <v>60.3</v>
          </cell>
        </row>
        <row r="147">
          <cell r="A147">
            <v>18.001</v>
          </cell>
          <cell r="C147" t="str">
            <v>FRACTURE OF PELVIS OR DISLOCATION OF HIP                                          </v>
          </cell>
          <cell r="D147">
            <v>0</v>
          </cell>
          <cell r="E147">
            <v>1</v>
          </cell>
          <cell r="F147">
            <v>4</v>
          </cell>
          <cell r="G147">
            <v>13</v>
          </cell>
          <cell r="H147">
            <v>0</v>
          </cell>
          <cell r="I147">
            <v>18</v>
          </cell>
          <cell r="J147">
            <v>0</v>
          </cell>
          <cell r="K147">
            <v>18</v>
          </cell>
          <cell r="L147">
            <v>0</v>
          </cell>
          <cell r="M147">
            <v>18</v>
          </cell>
          <cell r="N147">
            <v>4.8</v>
          </cell>
          <cell r="O147">
            <v>15961.61</v>
          </cell>
          <cell r="P147">
            <v>74.6</v>
          </cell>
        </row>
        <row r="148">
          <cell r="A148">
            <v>18</v>
          </cell>
          <cell r="C148" t="str">
            <v>OTHER CIRCULATORY SYSTEM PROCEDURES                                               </v>
          </cell>
          <cell r="D148">
            <v>0</v>
          </cell>
          <cell r="E148">
            <v>3</v>
          </cell>
          <cell r="F148">
            <v>9</v>
          </cell>
          <cell r="G148">
            <v>6</v>
          </cell>
          <cell r="H148">
            <v>0</v>
          </cell>
          <cell r="I148">
            <v>18</v>
          </cell>
          <cell r="J148">
            <v>10</v>
          </cell>
          <cell r="K148">
            <v>8</v>
          </cell>
          <cell r="L148">
            <v>0</v>
          </cell>
          <cell r="M148">
            <v>18</v>
          </cell>
          <cell r="N148">
            <v>7</v>
          </cell>
          <cell r="O148">
            <v>44559.68</v>
          </cell>
          <cell r="P148">
            <v>58.9</v>
          </cell>
        </row>
        <row r="149">
          <cell r="A149">
            <v>17.001</v>
          </cell>
          <cell r="C149" t="str">
            <v>O.R. PROCEDURE FOR OTHER COMPLICATIONS OF TREATMENT                               </v>
          </cell>
          <cell r="D149">
            <v>0</v>
          </cell>
          <cell r="E149">
            <v>5</v>
          </cell>
          <cell r="F149">
            <v>7</v>
          </cell>
          <cell r="G149">
            <v>5</v>
          </cell>
          <cell r="H149">
            <v>0</v>
          </cell>
          <cell r="I149">
            <v>17</v>
          </cell>
          <cell r="J149">
            <v>7</v>
          </cell>
          <cell r="K149">
            <v>10</v>
          </cell>
          <cell r="L149">
            <v>0</v>
          </cell>
          <cell r="M149">
            <v>17</v>
          </cell>
          <cell r="N149">
            <v>4.4</v>
          </cell>
          <cell r="O149">
            <v>22858.17</v>
          </cell>
          <cell r="P149">
            <v>53.4</v>
          </cell>
        </row>
        <row r="150">
          <cell r="A150">
            <v>17.001</v>
          </cell>
          <cell r="C150" t="str">
            <v>MAJOR HEMATOLOGIC/IMMUNOLOGIC DIAG EXC SICKLE CELL CRISIS &amp; COAGUL                </v>
          </cell>
          <cell r="D150">
            <v>2</v>
          </cell>
          <cell r="E150">
            <v>2</v>
          </cell>
          <cell r="F150">
            <v>9</v>
          </cell>
          <cell r="G150">
            <v>4</v>
          </cell>
          <cell r="H150">
            <v>0</v>
          </cell>
          <cell r="I150">
            <v>17</v>
          </cell>
          <cell r="J150">
            <v>7</v>
          </cell>
          <cell r="K150">
            <v>10</v>
          </cell>
          <cell r="L150">
            <v>0</v>
          </cell>
          <cell r="M150">
            <v>17</v>
          </cell>
          <cell r="N150">
            <v>5.6</v>
          </cell>
          <cell r="O150">
            <v>21528.39</v>
          </cell>
          <cell r="P150">
            <v>51.6</v>
          </cell>
        </row>
        <row r="151">
          <cell r="A151">
            <v>17.001</v>
          </cell>
          <cell r="C151" t="str">
            <v>TENDON, MUSCLE &amp; OTHER SOFT TISSUE PROCEDURES                                     </v>
          </cell>
          <cell r="D151">
            <v>0</v>
          </cell>
          <cell r="E151">
            <v>3</v>
          </cell>
          <cell r="F151">
            <v>8</v>
          </cell>
          <cell r="G151">
            <v>6</v>
          </cell>
          <cell r="H151">
            <v>0</v>
          </cell>
          <cell r="I151">
            <v>17</v>
          </cell>
          <cell r="J151">
            <v>12</v>
          </cell>
          <cell r="K151">
            <v>5</v>
          </cell>
          <cell r="L151">
            <v>0</v>
          </cell>
          <cell r="M151">
            <v>17</v>
          </cell>
          <cell r="N151">
            <v>8.4</v>
          </cell>
          <cell r="O151">
            <v>30163.28</v>
          </cell>
          <cell r="P151">
            <v>57.9</v>
          </cell>
        </row>
        <row r="152">
          <cell r="A152">
            <v>17</v>
          </cell>
          <cell r="C152" t="str">
            <v>MAJOR THORACIC &amp; ABDOMINAL VASCULAR PROCEDURES                                    </v>
          </cell>
          <cell r="D152">
            <v>0</v>
          </cell>
          <cell r="E152">
            <v>0</v>
          </cell>
          <cell r="F152">
            <v>7</v>
          </cell>
          <cell r="G152">
            <v>10</v>
          </cell>
          <cell r="H152">
            <v>0</v>
          </cell>
          <cell r="I152">
            <v>17</v>
          </cell>
          <cell r="J152">
            <v>13</v>
          </cell>
          <cell r="K152">
            <v>4</v>
          </cell>
          <cell r="L152">
            <v>0</v>
          </cell>
          <cell r="M152">
            <v>17</v>
          </cell>
          <cell r="N152">
            <v>14.7</v>
          </cell>
          <cell r="O152">
            <v>107703.67</v>
          </cell>
          <cell r="P152">
            <v>67.9</v>
          </cell>
        </row>
        <row r="153">
          <cell r="A153">
            <v>16.001</v>
          </cell>
          <cell r="C153" t="str">
            <v>ALLERGIC REACTIONS                                                                </v>
          </cell>
          <cell r="D153">
            <v>0</v>
          </cell>
          <cell r="E153">
            <v>4</v>
          </cell>
          <cell r="F153">
            <v>8</v>
          </cell>
          <cell r="G153">
            <v>4</v>
          </cell>
          <cell r="H153">
            <v>0</v>
          </cell>
          <cell r="I153">
            <v>16</v>
          </cell>
          <cell r="J153">
            <v>5</v>
          </cell>
          <cell r="K153">
            <v>11</v>
          </cell>
          <cell r="L153">
            <v>0</v>
          </cell>
          <cell r="M153">
            <v>16</v>
          </cell>
          <cell r="N153">
            <v>2.9</v>
          </cell>
          <cell r="O153">
            <v>11550.72</v>
          </cell>
          <cell r="P153">
            <v>51.8</v>
          </cell>
        </row>
        <row r="154">
          <cell r="A154">
            <v>16.001</v>
          </cell>
          <cell r="C154" t="str">
            <v>OTHER DRUG ABUSE &amp; DEPENDENCE                                                     </v>
          </cell>
          <cell r="D154">
            <v>1</v>
          </cell>
          <cell r="E154">
            <v>4</v>
          </cell>
          <cell r="F154">
            <v>5</v>
          </cell>
          <cell r="G154">
            <v>6</v>
          </cell>
          <cell r="H154">
            <v>0</v>
          </cell>
          <cell r="I154">
            <v>16</v>
          </cell>
          <cell r="J154">
            <v>8</v>
          </cell>
          <cell r="K154">
            <v>8</v>
          </cell>
          <cell r="L154">
            <v>0</v>
          </cell>
          <cell r="M154">
            <v>16</v>
          </cell>
          <cell r="N154">
            <v>4.4</v>
          </cell>
          <cell r="O154">
            <v>15999.97</v>
          </cell>
          <cell r="P154">
            <v>55.6</v>
          </cell>
        </row>
        <row r="155">
          <cell r="A155">
            <v>16.001</v>
          </cell>
          <cell r="C155" t="str">
            <v>FEMALE REPRODUCTIVE SYSTEM INFECTIONS                                             </v>
          </cell>
          <cell r="D155">
            <v>1</v>
          </cell>
          <cell r="E155">
            <v>12</v>
          </cell>
          <cell r="F155">
            <v>3</v>
          </cell>
          <cell r="G155">
            <v>0</v>
          </cell>
          <cell r="H155">
            <v>0</v>
          </cell>
          <cell r="I155">
            <v>16</v>
          </cell>
          <cell r="J155">
            <v>0</v>
          </cell>
          <cell r="K155">
            <v>16</v>
          </cell>
          <cell r="L155">
            <v>0</v>
          </cell>
          <cell r="M155">
            <v>16</v>
          </cell>
          <cell r="N155">
            <v>4.6</v>
          </cell>
          <cell r="O155">
            <v>15100.76</v>
          </cell>
          <cell r="P155">
            <v>31.4</v>
          </cell>
        </row>
        <row r="156">
          <cell r="A156">
            <v>16.001</v>
          </cell>
          <cell r="C156" t="str">
            <v>TRANSURETHRAL PROSTATECTOMY                                                       </v>
          </cell>
          <cell r="D156">
            <v>0</v>
          </cell>
          <cell r="E156">
            <v>0</v>
          </cell>
          <cell r="F156">
            <v>3</v>
          </cell>
          <cell r="G156">
            <v>13</v>
          </cell>
          <cell r="H156">
            <v>0</v>
          </cell>
          <cell r="I156">
            <v>16</v>
          </cell>
          <cell r="J156">
            <v>16</v>
          </cell>
          <cell r="K156">
            <v>0</v>
          </cell>
          <cell r="L156">
            <v>0</v>
          </cell>
          <cell r="M156">
            <v>16</v>
          </cell>
          <cell r="N156">
            <v>1.8</v>
          </cell>
          <cell r="O156">
            <v>13130.35</v>
          </cell>
          <cell r="P156">
            <v>71.6</v>
          </cell>
        </row>
        <row r="157">
          <cell r="A157">
            <v>16.001</v>
          </cell>
          <cell r="C157" t="str">
            <v>MALFUNCTION, REACTION &amp; COMPLICATION OF GI DEVICE OR PROCEDURE                    </v>
          </cell>
          <cell r="D157">
            <v>0</v>
          </cell>
          <cell r="E157">
            <v>3</v>
          </cell>
          <cell r="F157">
            <v>7</v>
          </cell>
          <cell r="G157">
            <v>6</v>
          </cell>
          <cell r="H157">
            <v>0</v>
          </cell>
          <cell r="I157">
            <v>16</v>
          </cell>
          <cell r="J157">
            <v>5</v>
          </cell>
          <cell r="K157">
            <v>11</v>
          </cell>
          <cell r="L157">
            <v>0</v>
          </cell>
          <cell r="M157">
            <v>16</v>
          </cell>
          <cell r="N157">
            <v>3.5</v>
          </cell>
          <cell r="O157">
            <v>14234.39</v>
          </cell>
          <cell r="P157">
            <v>60.2</v>
          </cell>
        </row>
        <row r="158">
          <cell r="A158">
            <v>16</v>
          </cell>
          <cell r="C158" t="str">
            <v>NONSPECIFIC CVA &amp; PRECEREBRAL OCCLUSION W/O INFARCT                               </v>
          </cell>
          <cell r="D158">
            <v>0</v>
          </cell>
          <cell r="E158">
            <v>0</v>
          </cell>
          <cell r="F158">
            <v>6</v>
          </cell>
          <cell r="G158">
            <v>10</v>
          </cell>
          <cell r="H158">
            <v>0</v>
          </cell>
          <cell r="I158">
            <v>16</v>
          </cell>
          <cell r="J158">
            <v>9</v>
          </cell>
          <cell r="K158">
            <v>7</v>
          </cell>
          <cell r="L158">
            <v>0</v>
          </cell>
          <cell r="M158">
            <v>16</v>
          </cell>
          <cell r="N158">
            <v>3.6</v>
          </cell>
          <cell r="O158">
            <v>17759.36</v>
          </cell>
          <cell r="P158">
            <v>68.6</v>
          </cell>
        </row>
        <row r="159">
          <cell r="A159">
            <v>15.001</v>
          </cell>
          <cell r="C159" t="str">
            <v>HIV W ONE SIGNIF HIV COND OR W/O SIGNIF RELATED COND                              </v>
          </cell>
          <cell r="D159">
            <v>0</v>
          </cell>
          <cell r="E159">
            <v>9</v>
          </cell>
          <cell r="F159">
            <v>4</v>
          </cell>
          <cell r="G159">
            <v>2</v>
          </cell>
          <cell r="H159">
            <v>0</v>
          </cell>
          <cell r="I159">
            <v>15</v>
          </cell>
          <cell r="J159">
            <v>6</v>
          </cell>
          <cell r="K159">
            <v>9</v>
          </cell>
          <cell r="L159">
            <v>0</v>
          </cell>
          <cell r="M159">
            <v>15</v>
          </cell>
          <cell r="N159">
            <v>4.5</v>
          </cell>
          <cell r="O159">
            <v>17378.73</v>
          </cell>
          <cell r="P159">
            <v>44.3</v>
          </cell>
        </row>
        <row r="160">
          <cell r="A160">
            <v>15.001</v>
          </cell>
          <cell r="C160" t="str">
            <v>NEONATE BWT 2000-2499G W RESP DIST SYND/OTH MAJ RESP COND                         </v>
          </cell>
          <cell r="D160">
            <v>15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15</v>
          </cell>
          <cell r="J160">
            <v>10</v>
          </cell>
          <cell r="K160">
            <v>5</v>
          </cell>
          <cell r="L160">
            <v>0</v>
          </cell>
          <cell r="M160">
            <v>15</v>
          </cell>
          <cell r="N160">
            <v>11</v>
          </cell>
          <cell r="O160">
            <v>24847.66</v>
          </cell>
          <cell r="P160">
            <v>0</v>
          </cell>
        </row>
        <row r="161">
          <cell r="A161">
            <v>15.001</v>
          </cell>
          <cell r="C161" t="str">
            <v>FEMALE REPRODUCTIVE SYSTEM RECONSTRUCTIVE PROCEDURES                              </v>
          </cell>
          <cell r="D161">
            <v>0</v>
          </cell>
          <cell r="E161">
            <v>0</v>
          </cell>
          <cell r="F161">
            <v>8</v>
          </cell>
          <cell r="G161">
            <v>7</v>
          </cell>
          <cell r="H161">
            <v>0</v>
          </cell>
          <cell r="I161">
            <v>15</v>
          </cell>
          <cell r="J161">
            <v>0</v>
          </cell>
          <cell r="K161">
            <v>15</v>
          </cell>
          <cell r="L161">
            <v>0</v>
          </cell>
          <cell r="M161">
            <v>15</v>
          </cell>
          <cell r="N161">
            <v>1.5</v>
          </cell>
          <cell r="O161">
            <v>15791.38</v>
          </cell>
          <cell r="P161">
            <v>63.5</v>
          </cell>
        </row>
        <row r="162">
          <cell r="A162">
            <v>15.001</v>
          </cell>
          <cell r="C162" t="str">
            <v>UTERINE &amp; ADNEXA PROCEDURES FOR NON-OVARIAN &amp; NON-ADNEXAL MALIG                   </v>
          </cell>
          <cell r="D162">
            <v>0</v>
          </cell>
          <cell r="E162">
            <v>0</v>
          </cell>
          <cell r="F162">
            <v>8</v>
          </cell>
          <cell r="G162">
            <v>7</v>
          </cell>
          <cell r="H162">
            <v>0</v>
          </cell>
          <cell r="I162">
            <v>15</v>
          </cell>
          <cell r="J162">
            <v>0</v>
          </cell>
          <cell r="K162">
            <v>15</v>
          </cell>
          <cell r="L162">
            <v>0</v>
          </cell>
          <cell r="M162">
            <v>15</v>
          </cell>
          <cell r="N162">
            <v>2.9</v>
          </cell>
          <cell r="O162">
            <v>22574.63</v>
          </cell>
          <cell r="P162">
            <v>64.3</v>
          </cell>
        </row>
        <row r="163">
          <cell r="A163">
            <v>15.001</v>
          </cell>
          <cell r="C163" t="str">
            <v>KIDNEY &amp; URINARY TRACT PROCEDURES FOR MALIGNANCY                                  </v>
          </cell>
          <cell r="D163">
            <v>0</v>
          </cell>
          <cell r="E163">
            <v>0</v>
          </cell>
          <cell r="F163">
            <v>4</v>
          </cell>
          <cell r="G163">
            <v>11</v>
          </cell>
          <cell r="H163">
            <v>0</v>
          </cell>
          <cell r="I163">
            <v>15</v>
          </cell>
          <cell r="J163">
            <v>7</v>
          </cell>
          <cell r="K163">
            <v>8</v>
          </cell>
          <cell r="L163">
            <v>0</v>
          </cell>
          <cell r="M163">
            <v>15</v>
          </cell>
          <cell r="N163">
            <v>6.2</v>
          </cell>
          <cell r="O163">
            <v>34504.73</v>
          </cell>
          <cell r="P163">
            <v>73</v>
          </cell>
        </row>
        <row r="164">
          <cell r="A164">
            <v>15.001</v>
          </cell>
          <cell r="C164" t="str">
            <v>MALNUTRITION, FAILURE TO THRIVE &amp; OTHER NUTRITIONAL DISORDERS                     </v>
          </cell>
          <cell r="D164">
            <v>0</v>
          </cell>
          <cell r="E164">
            <v>0</v>
          </cell>
          <cell r="F164">
            <v>3</v>
          </cell>
          <cell r="G164">
            <v>12</v>
          </cell>
          <cell r="H164">
            <v>0</v>
          </cell>
          <cell r="I164">
            <v>15</v>
          </cell>
          <cell r="J164">
            <v>6</v>
          </cell>
          <cell r="K164">
            <v>9</v>
          </cell>
          <cell r="L164">
            <v>0</v>
          </cell>
          <cell r="M164">
            <v>15</v>
          </cell>
          <cell r="N164">
            <v>11.3</v>
          </cell>
          <cell r="O164">
            <v>25867.05</v>
          </cell>
          <cell r="P164">
            <v>77.1</v>
          </cell>
        </row>
        <row r="165">
          <cell r="A165">
            <v>15.001</v>
          </cell>
          <cell r="C165" t="str">
            <v>OTHER MUSCULOSKELETAL SYSTEM &amp; CONNECTIVE TISSUE PROCEDURES                       </v>
          </cell>
          <cell r="D165">
            <v>0</v>
          </cell>
          <cell r="E165">
            <v>1</v>
          </cell>
          <cell r="F165">
            <v>7</v>
          </cell>
          <cell r="G165">
            <v>7</v>
          </cell>
          <cell r="H165">
            <v>0</v>
          </cell>
          <cell r="I165">
            <v>15</v>
          </cell>
          <cell r="J165">
            <v>9</v>
          </cell>
          <cell r="K165">
            <v>6</v>
          </cell>
          <cell r="L165">
            <v>0</v>
          </cell>
          <cell r="M165">
            <v>15</v>
          </cell>
          <cell r="N165">
            <v>16.1</v>
          </cell>
          <cell r="O165">
            <v>69954.35</v>
          </cell>
          <cell r="P165">
            <v>64.8</v>
          </cell>
        </row>
        <row r="166">
          <cell r="A166">
            <v>15.001</v>
          </cell>
          <cell r="C166" t="str">
            <v>PERITONEAL ADHESIOLYSIS                                                           </v>
          </cell>
          <cell r="D166">
            <v>0</v>
          </cell>
          <cell r="E166">
            <v>4</v>
          </cell>
          <cell r="F166">
            <v>4</v>
          </cell>
          <cell r="G166">
            <v>7</v>
          </cell>
          <cell r="H166">
            <v>0</v>
          </cell>
          <cell r="I166">
            <v>15</v>
          </cell>
          <cell r="J166">
            <v>10</v>
          </cell>
          <cell r="K166">
            <v>5</v>
          </cell>
          <cell r="L166">
            <v>0</v>
          </cell>
          <cell r="M166">
            <v>15</v>
          </cell>
          <cell r="N166">
            <v>8.7</v>
          </cell>
          <cell r="O166">
            <v>37560.23</v>
          </cell>
          <cell r="P166">
            <v>59.3</v>
          </cell>
        </row>
        <row r="167">
          <cell r="A167">
            <v>15.001</v>
          </cell>
          <cell r="C167" t="str">
            <v>CARDIAC VALVE PROCEDURES W CARDIAC CATHETERIZATION                                </v>
          </cell>
          <cell r="D167">
            <v>0</v>
          </cell>
          <cell r="E167">
            <v>2</v>
          </cell>
          <cell r="F167">
            <v>5</v>
          </cell>
          <cell r="G167">
            <v>8</v>
          </cell>
          <cell r="H167">
            <v>0</v>
          </cell>
          <cell r="I167">
            <v>15</v>
          </cell>
          <cell r="J167">
            <v>12</v>
          </cell>
          <cell r="K167">
            <v>3</v>
          </cell>
          <cell r="L167">
            <v>0</v>
          </cell>
          <cell r="M167">
            <v>15</v>
          </cell>
          <cell r="N167">
            <v>15.3</v>
          </cell>
          <cell r="O167">
            <v>186146.27</v>
          </cell>
          <cell r="P167">
            <v>67.1</v>
          </cell>
        </row>
        <row r="168">
          <cell r="A168">
            <v>15.001</v>
          </cell>
          <cell r="C168" t="str">
            <v>CONCUSSION, CLOSED SKULL FX NOS,UNCOMPLICATED INTRACRANIAL INJURY, COMA &lt; 1 HR OR </v>
          </cell>
          <cell r="D168">
            <v>4</v>
          </cell>
          <cell r="E168">
            <v>6</v>
          </cell>
          <cell r="F168">
            <v>2</v>
          </cell>
          <cell r="G168">
            <v>3</v>
          </cell>
          <cell r="H168">
            <v>0</v>
          </cell>
          <cell r="I168">
            <v>15</v>
          </cell>
          <cell r="J168">
            <v>10</v>
          </cell>
          <cell r="K168">
            <v>5</v>
          </cell>
          <cell r="L168">
            <v>0</v>
          </cell>
          <cell r="M168">
            <v>15</v>
          </cell>
          <cell r="N168">
            <v>2.8</v>
          </cell>
          <cell r="O168">
            <v>17904.11</v>
          </cell>
          <cell r="P168">
            <v>38.5</v>
          </cell>
        </row>
        <row r="169">
          <cell r="A169">
            <v>15</v>
          </cell>
          <cell r="C169" t="str">
            <v>INTRACRANIAL HEMORRHAGE                                                           </v>
          </cell>
          <cell r="D169">
            <v>0</v>
          </cell>
          <cell r="E169">
            <v>1</v>
          </cell>
          <cell r="F169">
            <v>3</v>
          </cell>
          <cell r="G169">
            <v>11</v>
          </cell>
          <cell r="H169">
            <v>0</v>
          </cell>
          <cell r="I169">
            <v>15</v>
          </cell>
          <cell r="J169">
            <v>8</v>
          </cell>
          <cell r="K169">
            <v>7</v>
          </cell>
          <cell r="L169">
            <v>0</v>
          </cell>
          <cell r="M169">
            <v>15</v>
          </cell>
          <cell r="N169">
            <v>6.7</v>
          </cell>
          <cell r="O169">
            <v>26857.39</v>
          </cell>
          <cell r="P169">
            <v>72.9</v>
          </cell>
        </row>
        <row r="170">
          <cell r="A170">
            <v>14.001</v>
          </cell>
          <cell r="C170" t="str">
            <v>FRACTURE OF FEMUR                                                                 </v>
          </cell>
          <cell r="D170">
            <v>0</v>
          </cell>
          <cell r="E170">
            <v>0</v>
          </cell>
          <cell r="F170">
            <v>2</v>
          </cell>
          <cell r="G170">
            <v>12</v>
          </cell>
          <cell r="H170">
            <v>0</v>
          </cell>
          <cell r="I170">
            <v>14</v>
          </cell>
          <cell r="J170">
            <v>6</v>
          </cell>
          <cell r="K170">
            <v>8</v>
          </cell>
          <cell r="L170">
            <v>0</v>
          </cell>
          <cell r="M170">
            <v>14</v>
          </cell>
          <cell r="N170">
            <v>7</v>
          </cell>
          <cell r="O170">
            <v>15963.61</v>
          </cell>
          <cell r="P170">
            <v>76.7</v>
          </cell>
        </row>
        <row r="171">
          <cell r="A171">
            <v>14.001</v>
          </cell>
          <cell r="C171" t="str">
            <v>INTERSTITIAL LUNG DISEASE                                                         </v>
          </cell>
          <cell r="D171">
            <v>0</v>
          </cell>
          <cell r="E171">
            <v>3</v>
          </cell>
          <cell r="F171">
            <v>3</v>
          </cell>
          <cell r="G171">
            <v>8</v>
          </cell>
          <cell r="H171">
            <v>0</v>
          </cell>
          <cell r="I171">
            <v>14</v>
          </cell>
          <cell r="J171">
            <v>6</v>
          </cell>
          <cell r="K171">
            <v>8</v>
          </cell>
          <cell r="L171">
            <v>0</v>
          </cell>
          <cell r="M171">
            <v>14</v>
          </cell>
          <cell r="N171">
            <v>5.4</v>
          </cell>
          <cell r="O171">
            <v>18736.29</v>
          </cell>
          <cell r="P171">
            <v>63.6</v>
          </cell>
        </row>
        <row r="172">
          <cell r="A172">
            <v>14</v>
          </cell>
          <cell r="C172" t="str">
            <v>TRACHEOSTOMY W LONG TERM MECHANICAL VENTILATION W/O EXTENSIVE PROCEDURE           </v>
          </cell>
          <cell r="D172">
            <v>0</v>
          </cell>
          <cell r="E172">
            <v>3</v>
          </cell>
          <cell r="F172">
            <v>9</v>
          </cell>
          <cell r="G172">
            <v>2</v>
          </cell>
          <cell r="H172">
            <v>0</v>
          </cell>
          <cell r="I172">
            <v>14</v>
          </cell>
          <cell r="J172">
            <v>8</v>
          </cell>
          <cell r="K172">
            <v>6</v>
          </cell>
          <cell r="L172">
            <v>0</v>
          </cell>
          <cell r="M172">
            <v>14</v>
          </cell>
          <cell r="N172">
            <v>41.1</v>
          </cell>
          <cell r="O172">
            <v>200967.65</v>
          </cell>
          <cell r="P172">
            <v>50.7</v>
          </cell>
        </row>
        <row r="173">
          <cell r="A173">
            <v>13</v>
          </cell>
          <cell r="C173" t="str">
            <v>POST-OP, POST-TRAUMA, OTHER DEVICE INFECTIONS W O.R. PROCEDURE                    </v>
          </cell>
          <cell r="D173">
            <v>0</v>
          </cell>
          <cell r="E173">
            <v>3</v>
          </cell>
          <cell r="F173">
            <v>5</v>
          </cell>
          <cell r="G173">
            <v>5</v>
          </cell>
          <cell r="H173">
            <v>0</v>
          </cell>
          <cell r="I173">
            <v>13</v>
          </cell>
          <cell r="J173">
            <v>3</v>
          </cell>
          <cell r="K173">
            <v>10</v>
          </cell>
          <cell r="L173">
            <v>0</v>
          </cell>
          <cell r="M173">
            <v>13</v>
          </cell>
          <cell r="N173">
            <v>9.1</v>
          </cell>
          <cell r="O173">
            <v>53853.75</v>
          </cell>
          <cell r="P173">
            <v>60.5</v>
          </cell>
        </row>
        <row r="174">
          <cell r="A174">
            <v>12.001</v>
          </cell>
          <cell r="C174" t="str">
            <v>ORGANIC MENTAL HEALTH DISTURBANCES                                                </v>
          </cell>
          <cell r="D174">
            <v>0</v>
          </cell>
          <cell r="E174">
            <v>0</v>
          </cell>
          <cell r="F174">
            <v>0</v>
          </cell>
          <cell r="G174">
            <v>12</v>
          </cell>
          <cell r="H174">
            <v>0</v>
          </cell>
          <cell r="I174">
            <v>12</v>
          </cell>
          <cell r="J174">
            <v>4</v>
          </cell>
          <cell r="K174">
            <v>8</v>
          </cell>
          <cell r="L174">
            <v>0</v>
          </cell>
          <cell r="M174">
            <v>12</v>
          </cell>
          <cell r="N174">
            <v>14.1</v>
          </cell>
          <cell r="O174">
            <v>23302.43</v>
          </cell>
          <cell r="P174">
            <v>85.3</v>
          </cell>
        </row>
        <row r="175">
          <cell r="A175">
            <v>12.001</v>
          </cell>
          <cell r="C175" t="str">
            <v>ACUTE ANXIETY &amp; DELIRIUM STATES                                                   </v>
          </cell>
          <cell r="D175">
            <v>0</v>
          </cell>
          <cell r="E175">
            <v>3</v>
          </cell>
          <cell r="F175">
            <v>8</v>
          </cell>
          <cell r="G175">
            <v>1</v>
          </cell>
          <cell r="H175">
            <v>0</v>
          </cell>
          <cell r="I175">
            <v>12</v>
          </cell>
          <cell r="J175">
            <v>4</v>
          </cell>
          <cell r="K175">
            <v>8</v>
          </cell>
          <cell r="L175">
            <v>0</v>
          </cell>
          <cell r="M175">
            <v>12</v>
          </cell>
          <cell r="N175">
            <v>6.2</v>
          </cell>
          <cell r="O175">
            <v>19162.74</v>
          </cell>
          <cell r="P175">
            <v>51.8</v>
          </cell>
        </row>
        <row r="176">
          <cell r="A176">
            <v>12.001</v>
          </cell>
          <cell r="C176" t="str">
            <v>LYMPHATIC &amp; OTHER MALIGNANCIES &amp; NEOPLASMS OF UNCERTAIN BEHAVIOR                  </v>
          </cell>
          <cell r="D176">
            <v>0</v>
          </cell>
          <cell r="E176">
            <v>1</v>
          </cell>
          <cell r="F176">
            <v>2</v>
          </cell>
          <cell r="G176">
            <v>9</v>
          </cell>
          <cell r="H176">
            <v>0</v>
          </cell>
          <cell r="I176">
            <v>12</v>
          </cell>
          <cell r="J176">
            <v>7</v>
          </cell>
          <cell r="K176">
            <v>5</v>
          </cell>
          <cell r="L176">
            <v>0</v>
          </cell>
          <cell r="M176">
            <v>12</v>
          </cell>
          <cell r="N176">
            <v>5.1</v>
          </cell>
          <cell r="O176">
            <v>18963.45</v>
          </cell>
          <cell r="P176">
            <v>72.4</v>
          </cell>
        </row>
        <row r="177">
          <cell r="A177">
            <v>12.001</v>
          </cell>
          <cell r="C177" t="str">
            <v>ABORTION W/O D&amp;C, ASPIRATION CURETTAGE OR HYSTEROTOMY                             </v>
          </cell>
          <cell r="D177">
            <v>1</v>
          </cell>
          <cell r="E177">
            <v>11</v>
          </cell>
          <cell r="F177">
            <v>0</v>
          </cell>
          <cell r="G177">
            <v>0</v>
          </cell>
          <cell r="H177">
            <v>0</v>
          </cell>
          <cell r="I177">
            <v>12</v>
          </cell>
          <cell r="J177">
            <v>0</v>
          </cell>
          <cell r="K177">
            <v>12</v>
          </cell>
          <cell r="L177">
            <v>0</v>
          </cell>
          <cell r="M177">
            <v>12</v>
          </cell>
          <cell r="N177">
            <v>1.1</v>
          </cell>
          <cell r="O177">
            <v>5934.85</v>
          </cell>
          <cell r="P177">
            <v>26.8</v>
          </cell>
        </row>
        <row r="178">
          <cell r="A178">
            <v>12.001</v>
          </cell>
          <cell r="C178" t="str">
            <v>MENSTRUAL &amp; OTHER FEMALE REPRODUCTIVE SYSTEM DISORDERS                            </v>
          </cell>
          <cell r="D178">
            <v>1</v>
          </cell>
          <cell r="E178">
            <v>7</v>
          </cell>
          <cell r="F178">
            <v>2</v>
          </cell>
          <cell r="G178">
            <v>2</v>
          </cell>
          <cell r="H178">
            <v>0</v>
          </cell>
          <cell r="I178">
            <v>12</v>
          </cell>
          <cell r="J178">
            <v>0</v>
          </cell>
          <cell r="K178">
            <v>12</v>
          </cell>
          <cell r="L178">
            <v>0</v>
          </cell>
          <cell r="M178">
            <v>12</v>
          </cell>
          <cell r="N178">
            <v>3.4</v>
          </cell>
          <cell r="O178">
            <v>19069.15</v>
          </cell>
          <cell r="P178">
            <v>43.8</v>
          </cell>
        </row>
        <row r="179">
          <cell r="A179">
            <v>12.001</v>
          </cell>
          <cell r="C179" t="str">
            <v>CONNECTIVE TISSUE DISORDERS                                                       </v>
          </cell>
          <cell r="D179">
            <v>1</v>
          </cell>
          <cell r="E179">
            <v>7</v>
          </cell>
          <cell r="F179">
            <v>2</v>
          </cell>
          <cell r="G179">
            <v>2</v>
          </cell>
          <cell r="H179">
            <v>0</v>
          </cell>
          <cell r="I179">
            <v>12</v>
          </cell>
          <cell r="J179">
            <v>4</v>
          </cell>
          <cell r="K179">
            <v>8</v>
          </cell>
          <cell r="L179">
            <v>0</v>
          </cell>
          <cell r="M179">
            <v>12</v>
          </cell>
          <cell r="N179">
            <v>5.6</v>
          </cell>
          <cell r="O179">
            <v>22598.7</v>
          </cell>
          <cell r="P179">
            <v>42.6</v>
          </cell>
        </row>
        <row r="180">
          <cell r="A180">
            <v>12.001</v>
          </cell>
          <cell r="C180" t="str">
            <v>MAJOR ESOPHAGEAL DISORDERS                                                        </v>
          </cell>
          <cell r="D180">
            <v>0</v>
          </cell>
          <cell r="E180">
            <v>2</v>
          </cell>
          <cell r="F180">
            <v>5</v>
          </cell>
          <cell r="G180">
            <v>5</v>
          </cell>
          <cell r="H180">
            <v>0</v>
          </cell>
          <cell r="I180">
            <v>12</v>
          </cell>
          <cell r="J180">
            <v>6</v>
          </cell>
          <cell r="K180">
            <v>6</v>
          </cell>
          <cell r="L180">
            <v>0</v>
          </cell>
          <cell r="M180">
            <v>12</v>
          </cell>
          <cell r="N180">
            <v>5.1</v>
          </cell>
          <cell r="O180">
            <v>24747.28</v>
          </cell>
          <cell r="P180">
            <v>61.7</v>
          </cell>
        </row>
        <row r="181">
          <cell r="A181">
            <v>12</v>
          </cell>
          <cell r="C181" t="str">
            <v>NERVOUS SYSTEM MALIGNANCY                                                         </v>
          </cell>
          <cell r="D181">
            <v>0</v>
          </cell>
          <cell r="E181">
            <v>1</v>
          </cell>
          <cell r="F181">
            <v>2</v>
          </cell>
          <cell r="G181">
            <v>9</v>
          </cell>
          <cell r="H181">
            <v>0</v>
          </cell>
          <cell r="I181">
            <v>12</v>
          </cell>
          <cell r="J181">
            <v>7</v>
          </cell>
          <cell r="K181">
            <v>5</v>
          </cell>
          <cell r="L181">
            <v>0</v>
          </cell>
          <cell r="M181">
            <v>12</v>
          </cell>
          <cell r="N181">
            <v>7.6</v>
          </cell>
          <cell r="O181">
            <v>24482.1</v>
          </cell>
          <cell r="P181">
            <v>66.3</v>
          </cell>
        </row>
        <row r="182">
          <cell r="A182">
            <v>11.001</v>
          </cell>
          <cell r="C182" t="str">
            <v>DRUG &amp; ALCOHOL ABUSE OR DEPENDENCE, LEFT AGAINST MEDICAL ADVICE                   </v>
          </cell>
          <cell r="D182">
            <v>0</v>
          </cell>
          <cell r="E182">
            <v>6</v>
          </cell>
          <cell r="F182">
            <v>5</v>
          </cell>
          <cell r="G182">
            <v>0</v>
          </cell>
          <cell r="H182">
            <v>0</v>
          </cell>
          <cell r="I182">
            <v>11</v>
          </cell>
          <cell r="J182">
            <v>7</v>
          </cell>
          <cell r="K182">
            <v>4</v>
          </cell>
          <cell r="L182">
            <v>0</v>
          </cell>
          <cell r="M182">
            <v>11</v>
          </cell>
          <cell r="N182">
            <v>1.5</v>
          </cell>
          <cell r="O182">
            <v>10720.75</v>
          </cell>
          <cell r="P182">
            <v>42.6</v>
          </cell>
        </row>
        <row r="183">
          <cell r="A183">
            <v>11.001</v>
          </cell>
          <cell r="C183" t="str">
            <v>GASTROINTESTINAL VASCULAR INSUFFICIENCY                                           </v>
          </cell>
          <cell r="D183">
            <v>0</v>
          </cell>
          <cell r="E183">
            <v>0</v>
          </cell>
          <cell r="F183">
            <v>1</v>
          </cell>
          <cell r="G183">
            <v>10</v>
          </cell>
          <cell r="H183">
            <v>0</v>
          </cell>
          <cell r="I183">
            <v>11</v>
          </cell>
          <cell r="J183">
            <v>1</v>
          </cell>
          <cell r="K183">
            <v>10</v>
          </cell>
          <cell r="L183">
            <v>0</v>
          </cell>
          <cell r="M183">
            <v>11</v>
          </cell>
          <cell r="N183">
            <v>4.1</v>
          </cell>
          <cell r="O183">
            <v>25203.84</v>
          </cell>
          <cell r="P183">
            <v>74.1</v>
          </cell>
        </row>
        <row r="184">
          <cell r="A184">
            <v>11.001</v>
          </cell>
          <cell r="C184" t="str">
            <v>OTHER STOMACH, ESOPHAGEAL &amp; DUODENAL PROCEDURES                                   </v>
          </cell>
          <cell r="D184">
            <v>0</v>
          </cell>
          <cell r="E184">
            <v>3</v>
          </cell>
          <cell r="F184">
            <v>6</v>
          </cell>
          <cell r="G184">
            <v>2</v>
          </cell>
          <cell r="H184">
            <v>0</v>
          </cell>
          <cell r="I184">
            <v>11</v>
          </cell>
          <cell r="J184">
            <v>7</v>
          </cell>
          <cell r="K184">
            <v>4</v>
          </cell>
          <cell r="L184">
            <v>0</v>
          </cell>
          <cell r="M184">
            <v>11</v>
          </cell>
          <cell r="N184">
            <v>4.5</v>
          </cell>
          <cell r="O184">
            <v>30830.65</v>
          </cell>
          <cell r="P184">
            <v>54.9</v>
          </cell>
        </row>
        <row r="185">
          <cell r="A185">
            <v>11</v>
          </cell>
          <cell r="C185" t="str">
            <v>MULTIPLE SCLEROSIS &amp; OTHER DEMYELINATING DISEASES                                 </v>
          </cell>
          <cell r="D185">
            <v>0</v>
          </cell>
          <cell r="E185">
            <v>1</v>
          </cell>
          <cell r="F185">
            <v>7</v>
          </cell>
          <cell r="G185">
            <v>3</v>
          </cell>
          <cell r="H185">
            <v>0</v>
          </cell>
          <cell r="I185">
            <v>11</v>
          </cell>
          <cell r="J185">
            <v>1</v>
          </cell>
          <cell r="K185">
            <v>10</v>
          </cell>
          <cell r="L185">
            <v>0</v>
          </cell>
          <cell r="M185">
            <v>11</v>
          </cell>
          <cell r="N185">
            <v>5.7</v>
          </cell>
          <cell r="O185">
            <v>24108.47</v>
          </cell>
          <cell r="P185">
            <v>55.2</v>
          </cell>
        </row>
        <row r="186">
          <cell r="A186">
            <v>10.001</v>
          </cell>
          <cell r="C186" t="str">
            <v>OTHER INJURY, POISONING &amp; TOXIC EFFECT DIAGNOSES                                  </v>
          </cell>
          <cell r="D186">
            <v>1</v>
          </cell>
          <cell r="E186">
            <v>1</v>
          </cell>
          <cell r="F186">
            <v>2</v>
          </cell>
          <cell r="G186">
            <v>6</v>
          </cell>
          <cell r="H186">
            <v>0</v>
          </cell>
          <cell r="I186">
            <v>10</v>
          </cell>
          <cell r="J186">
            <v>7</v>
          </cell>
          <cell r="K186">
            <v>3</v>
          </cell>
          <cell r="L186">
            <v>0</v>
          </cell>
          <cell r="M186">
            <v>10</v>
          </cell>
          <cell r="N186">
            <v>3.1</v>
          </cell>
          <cell r="O186">
            <v>11754.25</v>
          </cell>
          <cell r="P186">
            <v>59.6</v>
          </cell>
        </row>
        <row r="187">
          <cell r="A187">
            <v>10</v>
          </cell>
          <cell r="C187" t="str">
            <v>HIP &amp; FEMUR PROCEDURES FOR NON-TRAUMA EXCEPT JOINT REPLACEMENT                    </v>
          </cell>
          <cell r="D187">
            <v>0</v>
          </cell>
          <cell r="E187">
            <v>0</v>
          </cell>
          <cell r="F187">
            <v>4</v>
          </cell>
          <cell r="G187">
            <v>6</v>
          </cell>
          <cell r="H187">
            <v>0</v>
          </cell>
          <cell r="I187">
            <v>10</v>
          </cell>
          <cell r="J187">
            <v>6</v>
          </cell>
          <cell r="K187">
            <v>4</v>
          </cell>
          <cell r="L187">
            <v>0</v>
          </cell>
          <cell r="M187">
            <v>10</v>
          </cell>
          <cell r="N187">
            <v>6.2</v>
          </cell>
          <cell r="O187">
            <v>38621.37</v>
          </cell>
          <cell r="P187">
            <v>69.5</v>
          </cell>
        </row>
        <row r="188">
          <cell r="A188">
            <v>9.001</v>
          </cell>
          <cell r="C188" t="str">
            <v>KIDNEY &amp; URINARY TRACT MALIGNANCY                                                 </v>
          </cell>
          <cell r="D188">
            <v>0</v>
          </cell>
          <cell r="E188">
            <v>0</v>
          </cell>
          <cell r="F188">
            <v>1</v>
          </cell>
          <cell r="G188">
            <v>8</v>
          </cell>
          <cell r="H188">
            <v>0</v>
          </cell>
          <cell r="I188">
            <v>9</v>
          </cell>
          <cell r="J188">
            <v>6</v>
          </cell>
          <cell r="K188">
            <v>3</v>
          </cell>
          <cell r="L188">
            <v>0</v>
          </cell>
          <cell r="M188">
            <v>9</v>
          </cell>
          <cell r="N188">
            <v>5.8</v>
          </cell>
          <cell r="O188">
            <v>23562.61</v>
          </cell>
          <cell r="P188">
            <v>76.2</v>
          </cell>
        </row>
        <row r="189">
          <cell r="A189">
            <v>9.001</v>
          </cell>
          <cell r="C189" t="str">
            <v>OTHER KIDNEY, URINARY TRACT &amp; RELATED PROCEDURES                                  </v>
          </cell>
          <cell r="D189">
            <v>0</v>
          </cell>
          <cell r="E189">
            <v>0</v>
          </cell>
          <cell r="F189">
            <v>6</v>
          </cell>
          <cell r="G189">
            <v>3</v>
          </cell>
          <cell r="H189">
            <v>0</v>
          </cell>
          <cell r="I189">
            <v>9</v>
          </cell>
          <cell r="J189">
            <v>4</v>
          </cell>
          <cell r="K189">
            <v>5</v>
          </cell>
          <cell r="L189">
            <v>0</v>
          </cell>
          <cell r="M189">
            <v>9</v>
          </cell>
          <cell r="N189">
            <v>5.6</v>
          </cell>
          <cell r="O189">
            <v>34216.68</v>
          </cell>
          <cell r="P189">
            <v>61.6</v>
          </cell>
        </row>
        <row r="190">
          <cell r="A190">
            <v>9.001</v>
          </cell>
          <cell r="C190" t="str">
            <v>MAJOR SKIN DISORDERS                                                              </v>
          </cell>
          <cell r="D190">
            <v>0</v>
          </cell>
          <cell r="E190">
            <v>2</v>
          </cell>
          <cell r="F190">
            <v>2</v>
          </cell>
          <cell r="G190">
            <v>5</v>
          </cell>
          <cell r="H190">
            <v>0</v>
          </cell>
          <cell r="I190">
            <v>9</v>
          </cell>
          <cell r="J190">
            <v>3</v>
          </cell>
          <cell r="K190">
            <v>6</v>
          </cell>
          <cell r="L190">
            <v>0</v>
          </cell>
          <cell r="M190">
            <v>9</v>
          </cell>
          <cell r="N190">
            <v>6.6</v>
          </cell>
          <cell r="O190">
            <v>17336.96</v>
          </cell>
          <cell r="P190">
            <v>62.2</v>
          </cell>
        </row>
        <row r="191">
          <cell r="A191">
            <v>9.001</v>
          </cell>
          <cell r="C191" t="str">
            <v>CARDIOMYOPATHY                                                                    </v>
          </cell>
          <cell r="D191">
            <v>0</v>
          </cell>
          <cell r="E191">
            <v>3</v>
          </cell>
          <cell r="F191">
            <v>3</v>
          </cell>
          <cell r="G191">
            <v>3</v>
          </cell>
          <cell r="H191">
            <v>0</v>
          </cell>
          <cell r="I191">
            <v>9</v>
          </cell>
          <cell r="J191">
            <v>5</v>
          </cell>
          <cell r="K191">
            <v>4</v>
          </cell>
          <cell r="L191">
            <v>0</v>
          </cell>
          <cell r="M191">
            <v>9</v>
          </cell>
          <cell r="N191">
            <v>3</v>
          </cell>
          <cell r="O191">
            <v>9197.64</v>
          </cell>
          <cell r="P191">
            <v>54.6</v>
          </cell>
        </row>
        <row r="192">
          <cell r="A192">
            <v>9.001</v>
          </cell>
          <cell r="C192" t="str">
            <v>CARDIAC ARREST                                                                    </v>
          </cell>
          <cell r="D192">
            <v>0</v>
          </cell>
          <cell r="E192">
            <v>2</v>
          </cell>
          <cell r="F192">
            <v>0</v>
          </cell>
          <cell r="G192">
            <v>7</v>
          </cell>
          <cell r="H192">
            <v>0</v>
          </cell>
          <cell r="I192">
            <v>9</v>
          </cell>
          <cell r="J192">
            <v>7</v>
          </cell>
          <cell r="K192">
            <v>2</v>
          </cell>
          <cell r="L192">
            <v>0</v>
          </cell>
          <cell r="M192">
            <v>9</v>
          </cell>
          <cell r="N192">
            <v>3.1</v>
          </cell>
          <cell r="O192">
            <v>27175.2</v>
          </cell>
          <cell r="P192">
            <v>60.6</v>
          </cell>
        </row>
        <row r="193">
          <cell r="A193">
            <v>9.001</v>
          </cell>
          <cell r="C193" t="str">
            <v>DENTAL &amp; ORAL DISEASES &amp; INJURIES                                                 </v>
          </cell>
          <cell r="D193">
            <v>2</v>
          </cell>
          <cell r="E193">
            <v>3</v>
          </cell>
          <cell r="F193">
            <v>3</v>
          </cell>
          <cell r="G193">
            <v>1</v>
          </cell>
          <cell r="H193">
            <v>0</v>
          </cell>
          <cell r="I193">
            <v>9</v>
          </cell>
          <cell r="J193">
            <v>4</v>
          </cell>
          <cell r="K193">
            <v>5</v>
          </cell>
          <cell r="L193">
            <v>0</v>
          </cell>
          <cell r="M193">
            <v>9</v>
          </cell>
          <cell r="N193">
            <v>3</v>
          </cell>
          <cell r="O193">
            <v>8588.52</v>
          </cell>
          <cell r="P193">
            <v>38.7</v>
          </cell>
        </row>
        <row r="194">
          <cell r="A194">
            <v>9</v>
          </cell>
          <cell r="C194" t="str">
            <v>EYE DISORDERS EXCEPT MAJOR INFECTIONS                                             </v>
          </cell>
          <cell r="D194">
            <v>0</v>
          </cell>
          <cell r="E194">
            <v>5</v>
          </cell>
          <cell r="F194">
            <v>2</v>
          </cell>
          <cell r="G194">
            <v>2</v>
          </cell>
          <cell r="H194">
            <v>0</v>
          </cell>
          <cell r="I194">
            <v>9</v>
          </cell>
          <cell r="J194">
            <v>3</v>
          </cell>
          <cell r="K194">
            <v>6</v>
          </cell>
          <cell r="L194">
            <v>0</v>
          </cell>
          <cell r="M194">
            <v>9</v>
          </cell>
          <cell r="N194">
            <v>2.6</v>
          </cell>
          <cell r="O194">
            <v>12915.21</v>
          </cell>
          <cell r="P194">
            <v>50.1</v>
          </cell>
        </row>
        <row r="195">
          <cell r="A195">
            <v>8.001</v>
          </cell>
          <cell r="C195" t="str">
            <v>PROCEDURE W DIAG OF REHAB, AFTERCARE OR OTH CONTACT W HEALTH SERVICE              </v>
          </cell>
          <cell r="D195">
            <v>6</v>
          </cell>
          <cell r="E195">
            <v>0</v>
          </cell>
          <cell r="F195">
            <v>2</v>
          </cell>
          <cell r="G195">
            <v>0</v>
          </cell>
          <cell r="H195">
            <v>0</v>
          </cell>
          <cell r="I195">
            <v>8</v>
          </cell>
          <cell r="J195">
            <v>6</v>
          </cell>
          <cell r="K195">
            <v>2</v>
          </cell>
          <cell r="L195">
            <v>0</v>
          </cell>
          <cell r="M195">
            <v>8</v>
          </cell>
          <cell r="N195">
            <v>16</v>
          </cell>
          <cell r="O195">
            <v>31715.18</v>
          </cell>
          <cell r="P195">
            <v>14.5</v>
          </cell>
        </row>
        <row r="196">
          <cell r="A196">
            <v>8.001</v>
          </cell>
          <cell r="C196" t="str">
            <v>HAND &amp; WRIST PROCEDURES                                                           </v>
          </cell>
          <cell r="D196">
            <v>0</v>
          </cell>
          <cell r="E196">
            <v>1</v>
          </cell>
          <cell r="F196">
            <v>5</v>
          </cell>
          <cell r="G196">
            <v>2</v>
          </cell>
          <cell r="H196">
            <v>0</v>
          </cell>
          <cell r="I196">
            <v>8</v>
          </cell>
          <cell r="J196">
            <v>4</v>
          </cell>
          <cell r="K196">
            <v>4</v>
          </cell>
          <cell r="L196">
            <v>0</v>
          </cell>
          <cell r="M196">
            <v>8</v>
          </cell>
          <cell r="N196">
            <v>2</v>
          </cell>
          <cell r="O196">
            <v>14897.53</v>
          </cell>
          <cell r="P196">
            <v>59.8</v>
          </cell>
        </row>
        <row r="197">
          <cell r="A197">
            <v>8.001</v>
          </cell>
          <cell r="C197" t="str">
            <v>ANAL PROCEDURES                                                                   </v>
          </cell>
          <cell r="D197">
            <v>0</v>
          </cell>
          <cell r="E197">
            <v>1</v>
          </cell>
          <cell r="F197">
            <v>7</v>
          </cell>
          <cell r="G197">
            <v>0</v>
          </cell>
          <cell r="H197">
            <v>0</v>
          </cell>
          <cell r="I197">
            <v>8</v>
          </cell>
          <cell r="J197">
            <v>7</v>
          </cell>
          <cell r="K197">
            <v>1</v>
          </cell>
          <cell r="L197">
            <v>0</v>
          </cell>
          <cell r="M197">
            <v>8</v>
          </cell>
          <cell r="N197">
            <v>6</v>
          </cell>
          <cell r="O197">
            <v>25754.28</v>
          </cell>
          <cell r="P197">
            <v>52.3</v>
          </cell>
        </row>
        <row r="198">
          <cell r="A198">
            <v>8</v>
          </cell>
          <cell r="C198" t="str">
            <v>FACIAL BONE PROCEDURES EXCEPT MAJOR CRANIAL/FACIAL BONE PROCEDURES                </v>
          </cell>
          <cell r="D198">
            <v>0</v>
          </cell>
          <cell r="E198">
            <v>5</v>
          </cell>
          <cell r="F198">
            <v>2</v>
          </cell>
          <cell r="G198">
            <v>1</v>
          </cell>
          <cell r="H198">
            <v>0</v>
          </cell>
          <cell r="I198">
            <v>8</v>
          </cell>
          <cell r="J198">
            <v>4</v>
          </cell>
          <cell r="K198">
            <v>4</v>
          </cell>
          <cell r="L198">
            <v>0</v>
          </cell>
          <cell r="M198">
            <v>8</v>
          </cell>
          <cell r="N198">
            <v>3.3</v>
          </cell>
          <cell r="O198">
            <v>29898.14</v>
          </cell>
          <cell r="P198">
            <v>37.4</v>
          </cell>
        </row>
        <row r="199">
          <cell r="A199">
            <v>7.001</v>
          </cell>
          <cell r="C199" t="str">
            <v>MULTIPLE SIGNIFICANT TRAUMA W/O O.R. PROCEDURE                                    </v>
          </cell>
          <cell r="D199">
            <v>0</v>
          </cell>
          <cell r="E199">
            <v>3</v>
          </cell>
          <cell r="F199">
            <v>1</v>
          </cell>
          <cell r="G199">
            <v>3</v>
          </cell>
          <cell r="H199">
            <v>0</v>
          </cell>
          <cell r="I199">
            <v>7</v>
          </cell>
          <cell r="J199">
            <v>4</v>
          </cell>
          <cell r="K199">
            <v>3</v>
          </cell>
          <cell r="L199">
            <v>0</v>
          </cell>
          <cell r="M199">
            <v>7</v>
          </cell>
          <cell r="N199">
            <v>7.9</v>
          </cell>
          <cell r="O199">
            <v>36978.04</v>
          </cell>
          <cell r="P199">
            <v>49.3</v>
          </cell>
        </row>
        <row r="200">
          <cell r="A200">
            <v>7.001</v>
          </cell>
          <cell r="C200" t="str">
            <v>OPIOID ABUSE &amp; DEPENDENCE                                                         </v>
          </cell>
          <cell r="D200">
            <v>0</v>
          </cell>
          <cell r="E200">
            <v>5</v>
          </cell>
          <cell r="F200">
            <v>2</v>
          </cell>
          <cell r="G200">
            <v>0</v>
          </cell>
          <cell r="H200">
            <v>0</v>
          </cell>
          <cell r="I200">
            <v>7</v>
          </cell>
          <cell r="J200">
            <v>4</v>
          </cell>
          <cell r="K200">
            <v>3</v>
          </cell>
          <cell r="L200">
            <v>0</v>
          </cell>
          <cell r="M200">
            <v>7</v>
          </cell>
          <cell r="N200">
            <v>3</v>
          </cell>
          <cell r="O200">
            <v>10079.1</v>
          </cell>
          <cell r="P200">
            <v>33</v>
          </cell>
        </row>
        <row r="201">
          <cell r="A201">
            <v>7.001</v>
          </cell>
          <cell r="C201" t="str">
            <v>MAJOR DEPRESSIVE DISORDERS &amp; OTHER/UNSPECIFIED PSYCHOSES                          </v>
          </cell>
          <cell r="D201">
            <v>0</v>
          </cell>
          <cell r="E201">
            <v>3</v>
          </cell>
          <cell r="F201">
            <v>2</v>
          </cell>
          <cell r="G201">
            <v>2</v>
          </cell>
          <cell r="H201">
            <v>0</v>
          </cell>
          <cell r="I201">
            <v>7</v>
          </cell>
          <cell r="J201">
            <v>3</v>
          </cell>
          <cell r="K201">
            <v>4</v>
          </cell>
          <cell r="L201">
            <v>0</v>
          </cell>
          <cell r="M201">
            <v>7</v>
          </cell>
          <cell r="N201">
            <v>3.9</v>
          </cell>
          <cell r="O201">
            <v>12033.37</v>
          </cell>
          <cell r="P201">
            <v>53.3</v>
          </cell>
        </row>
        <row r="202">
          <cell r="A202">
            <v>7.001</v>
          </cell>
          <cell r="C202" t="str">
            <v>D&amp;C, ASPIRATION CURETTAGE OR HYSTEROTOMY FOR OBSTETRIC DIAGNOSES                  </v>
          </cell>
          <cell r="D202">
            <v>2</v>
          </cell>
          <cell r="E202">
            <v>5</v>
          </cell>
          <cell r="F202">
            <v>0</v>
          </cell>
          <cell r="G202">
            <v>0</v>
          </cell>
          <cell r="H202">
            <v>0</v>
          </cell>
          <cell r="I202">
            <v>7</v>
          </cell>
          <cell r="J202">
            <v>0</v>
          </cell>
          <cell r="K202">
            <v>7</v>
          </cell>
          <cell r="L202">
            <v>0</v>
          </cell>
          <cell r="M202">
            <v>7</v>
          </cell>
          <cell r="N202">
            <v>1.3</v>
          </cell>
          <cell r="O202">
            <v>10510.29</v>
          </cell>
          <cell r="P202">
            <v>24</v>
          </cell>
        </row>
        <row r="203">
          <cell r="A203">
            <v>7.001</v>
          </cell>
          <cell r="C203" t="str">
            <v>OTHER FEMALE REPRODUCTIVE SYSTEM &amp; RELATED PROCEDURES                             </v>
          </cell>
          <cell r="D203">
            <v>1</v>
          </cell>
          <cell r="E203">
            <v>3</v>
          </cell>
          <cell r="F203">
            <v>3</v>
          </cell>
          <cell r="G203">
            <v>0</v>
          </cell>
          <cell r="H203">
            <v>0</v>
          </cell>
          <cell r="I203">
            <v>7</v>
          </cell>
          <cell r="J203">
            <v>0</v>
          </cell>
          <cell r="K203">
            <v>7</v>
          </cell>
          <cell r="L203">
            <v>0</v>
          </cell>
          <cell r="M203">
            <v>7</v>
          </cell>
          <cell r="N203">
            <v>3.9</v>
          </cell>
          <cell r="O203">
            <v>23919.3</v>
          </cell>
          <cell r="P203">
            <v>37.4</v>
          </cell>
        </row>
        <row r="204">
          <cell r="A204">
            <v>7.001</v>
          </cell>
          <cell r="C204" t="str">
            <v>RENAL DIALYSIS ACCESS DEVICE PROCEDURE ONLY                                       </v>
          </cell>
          <cell r="D204">
            <v>0</v>
          </cell>
          <cell r="E204">
            <v>0</v>
          </cell>
          <cell r="F204">
            <v>2</v>
          </cell>
          <cell r="G204">
            <v>5</v>
          </cell>
          <cell r="H204">
            <v>0</v>
          </cell>
          <cell r="I204">
            <v>7</v>
          </cell>
          <cell r="J204">
            <v>4</v>
          </cell>
          <cell r="K204">
            <v>3</v>
          </cell>
          <cell r="L204">
            <v>0</v>
          </cell>
          <cell r="M204">
            <v>7</v>
          </cell>
          <cell r="N204">
            <v>5</v>
          </cell>
          <cell r="O204">
            <v>29631.4</v>
          </cell>
          <cell r="P204">
            <v>67.9</v>
          </cell>
        </row>
        <row r="205">
          <cell r="A205">
            <v>7.001</v>
          </cell>
          <cell r="C205" t="str">
            <v>OTHER PROCEDURES FOR ENDOCRINE, NUTRITIONAL &amp; METABOLIC DISORDERS                 </v>
          </cell>
          <cell r="D205">
            <v>0</v>
          </cell>
          <cell r="E205">
            <v>1</v>
          </cell>
          <cell r="F205">
            <v>5</v>
          </cell>
          <cell r="G205">
            <v>1</v>
          </cell>
          <cell r="H205">
            <v>0</v>
          </cell>
          <cell r="I205">
            <v>7</v>
          </cell>
          <cell r="J205">
            <v>2</v>
          </cell>
          <cell r="K205">
            <v>5</v>
          </cell>
          <cell r="L205">
            <v>0</v>
          </cell>
          <cell r="M205">
            <v>7</v>
          </cell>
          <cell r="N205">
            <v>15.9</v>
          </cell>
          <cell r="O205">
            <v>57233.61</v>
          </cell>
          <cell r="P205">
            <v>54.9</v>
          </cell>
        </row>
        <row r="206">
          <cell r="A206">
            <v>7.001</v>
          </cell>
          <cell r="C206" t="str">
            <v>MALIGNANT BREAST DISORDERS                                                        </v>
          </cell>
          <cell r="D206">
            <v>0</v>
          </cell>
          <cell r="E206">
            <v>0</v>
          </cell>
          <cell r="F206">
            <v>5</v>
          </cell>
          <cell r="G206">
            <v>2</v>
          </cell>
          <cell r="H206">
            <v>0</v>
          </cell>
          <cell r="I206">
            <v>7</v>
          </cell>
          <cell r="J206">
            <v>0</v>
          </cell>
          <cell r="K206">
            <v>7</v>
          </cell>
          <cell r="L206">
            <v>0</v>
          </cell>
          <cell r="M206">
            <v>7</v>
          </cell>
          <cell r="N206">
            <v>4.4</v>
          </cell>
          <cell r="O206">
            <v>18228.07</v>
          </cell>
          <cell r="P206">
            <v>58.6</v>
          </cell>
        </row>
        <row r="207">
          <cell r="A207">
            <v>7.001</v>
          </cell>
          <cell r="C207" t="str">
            <v>CARDIAC PACEMAKER &amp; DEFIBRILLATOR REVISION EXCEPT DEVICE REPLACEMENT              </v>
          </cell>
          <cell r="D207">
            <v>0</v>
          </cell>
          <cell r="E207">
            <v>0</v>
          </cell>
          <cell r="F207">
            <v>2</v>
          </cell>
          <cell r="G207">
            <v>5</v>
          </cell>
          <cell r="H207">
            <v>0</v>
          </cell>
          <cell r="I207">
            <v>7</v>
          </cell>
          <cell r="J207">
            <v>6</v>
          </cell>
          <cell r="K207">
            <v>1</v>
          </cell>
          <cell r="L207">
            <v>0</v>
          </cell>
          <cell r="M207">
            <v>7</v>
          </cell>
          <cell r="N207">
            <v>2.7</v>
          </cell>
          <cell r="O207">
            <v>36006.29</v>
          </cell>
          <cell r="P207">
            <v>71.9</v>
          </cell>
        </row>
        <row r="208">
          <cell r="A208">
            <v>7.001</v>
          </cell>
          <cell r="C208" t="str">
            <v>CARDIAC PACEMAKER &amp; DEFIBRILLATOR DEVICE REPLACEMENT                              </v>
          </cell>
          <cell r="D208">
            <v>0</v>
          </cell>
          <cell r="E208">
            <v>0</v>
          </cell>
          <cell r="F208">
            <v>3</v>
          </cell>
          <cell r="G208">
            <v>4</v>
          </cell>
          <cell r="H208">
            <v>0</v>
          </cell>
          <cell r="I208">
            <v>7</v>
          </cell>
          <cell r="J208">
            <v>2</v>
          </cell>
          <cell r="K208">
            <v>5</v>
          </cell>
          <cell r="L208">
            <v>0</v>
          </cell>
          <cell r="M208">
            <v>7</v>
          </cell>
          <cell r="N208">
            <v>3.6</v>
          </cell>
          <cell r="O208">
            <v>48448.2</v>
          </cell>
          <cell r="P208">
            <v>74.6</v>
          </cell>
        </row>
        <row r="209">
          <cell r="A209">
            <v>7</v>
          </cell>
          <cell r="C209" t="str">
            <v>OTHER NERVOUS SYSTEM &amp; RELATED PROCEDURES                                         </v>
          </cell>
          <cell r="D209">
            <v>0</v>
          </cell>
          <cell r="E209">
            <v>0</v>
          </cell>
          <cell r="F209">
            <v>4</v>
          </cell>
          <cell r="G209">
            <v>3</v>
          </cell>
          <cell r="H209">
            <v>0</v>
          </cell>
          <cell r="I209">
            <v>7</v>
          </cell>
          <cell r="J209">
            <v>3</v>
          </cell>
          <cell r="K209">
            <v>4</v>
          </cell>
          <cell r="L209">
            <v>0</v>
          </cell>
          <cell r="M209">
            <v>7</v>
          </cell>
          <cell r="N209">
            <v>13.3</v>
          </cell>
          <cell r="O209">
            <v>49194.19</v>
          </cell>
          <cell r="P209">
            <v>65.7</v>
          </cell>
        </row>
        <row r="210">
          <cell r="A210">
            <v>6.001</v>
          </cell>
          <cell r="C210" t="str">
            <v>EXTENSIVE ABDOMINAL/THORACIC PROCEDURES FOR MULT SIGNIFICANT TRAUMA               </v>
          </cell>
          <cell r="D210">
            <v>0</v>
          </cell>
          <cell r="E210">
            <v>5</v>
          </cell>
          <cell r="F210">
            <v>1</v>
          </cell>
          <cell r="G210">
            <v>0</v>
          </cell>
          <cell r="H210">
            <v>0</v>
          </cell>
          <cell r="I210">
            <v>6</v>
          </cell>
          <cell r="J210">
            <v>4</v>
          </cell>
          <cell r="K210">
            <v>2</v>
          </cell>
          <cell r="L210">
            <v>0</v>
          </cell>
          <cell r="M210">
            <v>6</v>
          </cell>
          <cell r="N210">
            <v>5.8</v>
          </cell>
          <cell r="O210">
            <v>70278.87</v>
          </cell>
          <cell r="P210">
            <v>30.7</v>
          </cell>
        </row>
        <row r="211">
          <cell r="A211">
            <v>6.001</v>
          </cell>
          <cell r="C211" t="str">
            <v>NEONATAL AFTERCARE                                                                </v>
          </cell>
          <cell r="D211">
            <v>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6</v>
          </cell>
          <cell r="J211">
            <v>2</v>
          </cell>
          <cell r="K211">
            <v>4</v>
          </cell>
          <cell r="L211">
            <v>0</v>
          </cell>
          <cell r="M211">
            <v>6</v>
          </cell>
          <cell r="N211">
            <v>31.2</v>
          </cell>
          <cell r="O211">
            <v>43999.52</v>
          </cell>
          <cell r="P211">
            <v>0</v>
          </cell>
        </row>
        <row r="212">
          <cell r="A212">
            <v>6.001</v>
          </cell>
          <cell r="C212" t="str">
            <v>COCAINE ABUSE &amp; DEPENDENCE                                                        </v>
          </cell>
          <cell r="D212">
            <v>0</v>
          </cell>
          <cell r="E212">
            <v>0</v>
          </cell>
          <cell r="F212">
            <v>6</v>
          </cell>
          <cell r="G212">
            <v>0</v>
          </cell>
          <cell r="H212">
            <v>0</v>
          </cell>
          <cell r="I212">
            <v>6</v>
          </cell>
          <cell r="J212">
            <v>6</v>
          </cell>
          <cell r="K212">
            <v>0</v>
          </cell>
          <cell r="L212">
            <v>0</v>
          </cell>
          <cell r="M212">
            <v>6</v>
          </cell>
          <cell r="N212">
            <v>5.2</v>
          </cell>
          <cell r="O212">
            <v>15187.2</v>
          </cell>
          <cell r="P212">
            <v>51.2</v>
          </cell>
        </row>
        <row r="213">
          <cell r="A213">
            <v>6.001</v>
          </cell>
          <cell r="C213" t="str">
            <v>COAGULATION &amp; PLATELET DISORDERS                                                  </v>
          </cell>
          <cell r="D213">
            <v>0</v>
          </cell>
          <cell r="E213">
            <v>0</v>
          </cell>
          <cell r="F213">
            <v>3</v>
          </cell>
          <cell r="G213">
            <v>3</v>
          </cell>
          <cell r="H213">
            <v>0</v>
          </cell>
          <cell r="I213">
            <v>6</v>
          </cell>
          <cell r="J213">
            <v>3</v>
          </cell>
          <cell r="K213">
            <v>3</v>
          </cell>
          <cell r="L213">
            <v>0</v>
          </cell>
          <cell r="M213">
            <v>6</v>
          </cell>
          <cell r="N213">
            <v>6.2</v>
          </cell>
          <cell r="O213">
            <v>45639.83</v>
          </cell>
          <cell r="P213">
            <v>65</v>
          </cell>
        </row>
        <row r="214">
          <cell r="A214">
            <v>6.001</v>
          </cell>
          <cell r="C214" t="str">
            <v>NEONATE BIRTHWT &gt;2499G W MAJOR ANOMALY                                            </v>
          </cell>
          <cell r="D214">
            <v>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6</v>
          </cell>
          <cell r="J214">
            <v>3</v>
          </cell>
          <cell r="K214">
            <v>3</v>
          </cell>
          <cell r="L214">
            <v>0</v>
          </cell>
          <cell r="M214">
            <v>6</v>
          </cell>
          <cell r="N214">
            <v>3</v>
          </cell>
          <cell r="O214">
            <v>5616.53</v>
          </cell>
          <cell r="P214">
            <v>0</v>
          </cell>
        </row>
        <row r="215">
          <cell r="A215">
            <v>6.001</v>
          </cell>
          <cell r="C215" t="str">
            <v>NEONATE BWT 2000-2499G W OTHER SIGNIFICANT CONDITION                              </v>
          </cell>
          <cell r="D215">
            <v>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6</v>
          </cell>
          <cell r="J215">
            <v>4</v>
          </cell>
          <cell r="K215">
            <v>2</v>
          </cell>
          <cell r="L215">
            <v>0</v>
          </cell>
          <cell r="M215">
            <v>6</v>
          </cell>
          <cell r="N215">
            <v>11.7</v>
          </cell>
          <cell r="O215">
            <v>21452.22</v>
          </cell>
          <cell r="P215">
            <v>0</v>
          </cell>
        </row>
        <row r="216">
          <cell r="A216">
            <v>6.001</v>
          </cell>
          <cell r="C216" t="str">
            <v>MAJOR MALE PELVIC PROCEDURES                                                      </v>
          </cell>
          <cell r="D216">
            <v>0</v>
          </cell>
          <cell r="E216">
            <v>0</v>
          </cell>
          <cell r="F216">
            <v>5</v>
          </cell>
          <cell r="G216">
            <v>1</v>
          </cell>
          <cell r="H216">
            <v>0</v>
          </cell>
          <cell r="I216">
            <v>6</v>
          </cell>
          <cell r="J216">
            <v>6</v>
          </cell>
          <cell r="K216">
            <v>0</v>
          </cell>
          <cell r="L216">
            <v>0</v>
          </cell>
          <cell r="M216">
            <v>6</v>
          </cell>
          <cell r="N216">
            <v>3.5</v>
          </cell>
          <cell r="O216">
            <v>28768.73</v>
          </cell>
          <cell r="P216">
            <v>61.3</v>
          </cell>
        </row>
        <row r="217">
          <cell r="A217">
            <v>6.001</v>
          </cell>
          <cell r="C217" t="str">
            <v>BREAST PROCEDURES EXCEPT MASTECTOMY                                               </v>
          </cell>
          <cell r="D217">
            <v>0</v>
          </cell>
          <cell r="E217">
            <v>3</v>
          </cell>
          <cell r="F217">
            <v>1</v>
          </cell>
          <cell r="G217">
            <v>2</v>
          </cell>
          <cell r="H217">
            <v>0</v>
          </cell>
          <cell r="I217">
            <v>6</v>
          </cell>
          <cell r="J217">
            <v>0</v>
          </cell>
          <cell r="K217">
            <v>6</v>
          </cell>
          <cell r="L217">
            <v>0</v>
          </cell>
          <cell r="M217">
            <v>6</v>
          </cell>
          <cell r="N217">
            <v>3</v>
          </cell>
          <cell r="O217">
            <v>29783</v>
          </cell>
          <cell r="P217">
            <v>55.7</v>
          </cell>
        </row>
        <row r="218">
          <cell r="A218">
            <v>6.001</v>
          </cell>
          <cell r="C218" t="str">
            <v>SKIN GRAFT FOR SKIN &amp; SUBCUTANEOUS TISSUE DIAGNOSES                               </v>
          </cell>
          <cell r="D218">
            <v>0</v>
          </cell>
          <cell r="E218">
            <v>0</v>
          </cell>
          <cell r="F218">
            <v>5</v>
          </cell>
          <cell r="G218">
            <v>1</v>
          </cell>
          <cell r="H218">
            <v>0</v>
          </cell>
          <cell r="I218">
            <v>6</v>
          </cell>
          <cell r="J218">
            <v>4</v>
          </cell>
          <cell r="K218">
            <v>2</v>
          </cell>
          <cell r="L218">
            <v>0</v>
          </cell>
          <cell r="M218">
            <v>6</v>
          </cell>
          <cell r="N218">
            <v>2.7</v>
          </cell>
          <cell r="O218">
            <v>13517.8</v>
          </cell>
          <cell r="P218">
            <v>53.5</v>
          </cell>
        </row>
        <row r="219">
          <cell r="A219">
            <v>6.001</v>
          </cell>
          <cell r="C219" t="str">
            <v>OTHER HEPATOBILIARY, PANCREAS &amp; ABDOMINAL PROCEDURES                              </v>
          </cell>
          <cell r="D219">
            <v>0</v>
          </cell>
          <cell r="E219">
            <v>1</v>
          </cell>
          <cell r="F219">
            <v>3</v>
          </cell>
          <cell r="G219">
            <v>2</v>
          </cell>
          <cell r="H219">
            <v>0</v>
          </cell>
          <cell r="I219">
            <v>6</v>
          </cell>
          <cell r="J219">
            <v>2</v>
          </cell>
          <cell r="K219">
            <v>4</v>
          </cell>
          <cell r="L219">
            <v>0</v>
          </cell>
          <cell r="M219">
            <v>6</v>
          </cell>
          <cell r="N219">
            <v>10.3</v>
          </cell>
          <cell r="O219">
            <v>73856.5</v>
          </cell>
          <cell r="P219">
            <v>57.7</v>
          </cell>
        </row>
        <row r="220">
          <cell r="A220">
            <v>6.001</v>
          </cell>
          <cell r="C220" t="str">
            <v>OTHER DIGESTIVE SYSTEM &amp; ABDOMINAL PROCEDURES                                     </v>
          </cell>
          <cell r="D220">
            <v>0</v>
          </cell>
          <cell r="E220">
            <v>1</v>
          </cell>
          <cell r="F220">
            <v>3</v>
          </cell>
          <cell r="G220">
            <v>2</v>
          </cell>
          <cell r="H220">
            <v>0</v>
          </cell>
          <cell r="I220">
            <v>6</v>
          </cell>
          <cell r="J220">
            <v>4</v>
          </cell>
          <cell r="K220">
            <v>2</v>
          </cell>
          <cell r="L220">
            <v>0</v>
          </cell>
          <cell r="M220">
            <v>6</v>
          </cell>
          <cell r="N220">
            <v>11.8</v>
          </cell>
          <cell r="O220">
            <v>50103.85</v>
          </cell>
          <cell r="P220">
            <v>57.5</v>
          </cell>
        </row>
        <row r="221">
          <cell r="A221">
            <v>6.001</v>
          </cell>
          <cell r="C221" t="str">
            <v>OTHER EAR, NOSE, MOUTH &amp; THROAT PROCEDURES                                        </v>
          </cell>
          <cell r="D221">
            <v>0</v>
          </cell>
          <cell r="E221">
            <v>3</v>
          </cell>
          <cell r="F221">
            <v>2</v>
          </cell>
          <cell r="G221">
            <v>1</v>
          </cell>
          <cell r="H221">
            <v>0</v>
          </cell>
          <cell r="I221">
            <v>6</v>
          </cell>
          <cell r="J221">
            <v>3</v>
          </cell>
          <cell r="K221">
            <v>3</v>
          </cell>
          <cell r="L221">
            <v>0</v>
          </cell>
          <cell r="M221">
            <v>6</v>
          </cell>
          <cell r="N221">
            <v>4.3</v>
          </cell>
          <cell r="O221">
            <v>17974.95</v>
          </cell>
          <cell r="P221">
            <v>46.3</v>
          </cell>
        </row>
        <row r="222">
          <cell r="A222">
            <v>6.001</v>
          </cell>
          <cell r="C222" t="str">
            <v>NON-BACTERIAL INFECTIONS OF NERVOUS SYSTEM EXC VIRAL MENINGITIS                   </v>
          </cell>
          <cell r="D222">
            <v>2</v>
          </cell>
          <cell r="E222">
            <v>3</v>
          </cell>
          <cell r="F222">
            <v>0</v>
          </cell>
          <cell r="G222">
            <v>1</v>
          </cell>
          <cell r="H222">
            <v>0</v>
          </cell>
          <cell r="I222">
            <v>6</v>
          </cell>
          <cell r="J222">
            <v>3</v>
          </cell>
          <cell r="K222">
            <v>3</v>
          </cell>
          <cell r="L222">
            <v>0</v>
          </cell>
          <cell r="M222">
            <v>6</v>
          </cell>
          <cell r="N222">
            <v>7.3</v>
          </cell>
          <cell r="O222">
            <v>36968.73</v>
          </cell>
          <cell r="P222">
            <v>30.3</v>
          </cell>
        </row>
        <row r="223">
          <cell r="A223">
            <v>6</v>
          </cell>
          <cell r="C223" t="str">
            <v>BACTERIAL &amp; TUBERCULOUS INFECTIONS OF NERVOUS SYSTEM                              </v>
          </cell>
          <cell r="D223">
            <v>0</v>
          </cell>
          <cell r="E223">
            <v>2</v>
          </cell>
          <cell r="F223">
            <v>2</v>
          </cell>
          <cell r="G223">
            <v>2</v>
          </cell>
          <cell r="H223">
            <v>0</v>
          </cell>
          <cell r="I223">
            <v>6</v>
          </cell>
          <cell r="J223">
            <v>3</v>
          </cell>
          <cell r="K223">
            <v>3</v>
          </cell>
          <cell r="L223">
            <v>0</v>
          </cell>
          <cell r="M223">
            <v>6</v>
          </cell>
          <cell r="N223">
            <v>9.7</v>
          </cell>
          <cell r="O223">
            <v>42194.57</v>
          </cell>
          <cell r="P223">
            <v>54.5</v>
          </cell>
        </row>
        <row r="224">
          <cell r="A224">
            <v>5.001</v>
          </cell>
          <cell r="C224" t="str">
            <v>MUSCULOSKELETAL &amp; OTHER PROCEDURES FOR MULTIPLE SIGNIFICANT TRAUMA                </v>
          </cell>
          <cell r="D224">
            <v>0</v>
          </cell>
          <cell r="E224">
            <v>2</v>
          </cell>
          <cell r="F224">
            <v>2</v>
          </cell>
          <cell r="G224">
            <v>1</v>
          </cell>
          <cell r="H224">
            <v>0</v>
          </cell>
          <cell r="I224">
            <v>5</v>
          </cell>
          <cell r="J224">
            <v>3</v>
          </cell>
          <cell r="K224">
            <v>2</v>
          </cell>
          <cell r="L224">
            <v>0</v>
          </cell>
          <cell r="M224">
            <v>5</v>
          </cell>
          <cell r="N224">
            <v>5.8</v>
          </cell>
          <cell r="O224">
            <v>54996.68</v>
          </cell>
          <cell r="P224">
            <v>49</v>
          </cell>
        </row>
        <row r="225">
          <cell r="A225">
            <v>5.001</v>
          </cell>
          <cell r="C225" t="str">
            <v>HIV W MULTIPLE SIGNIFICANT HIV RELATED CONDITIONS                                 </v>
          </cell>
          <cell r="D225">
            <v>0</v>
          </cell>
          <cell r="E225">
            <v>1</v>
          </cell>
          <cell r="F225">
            <v>3</v>
          </cell>
          <cell r="G225">
            <v>1</v>
          </cell>
          <cell r="H225">
            <v>0</v>
          </cell>
          <cell r="I225">
            <v>5</v>
          </cell>
          <cell r="J225">
            <v>3</v>
          </cell>
          <cell r="K225">
            <v>2</v>
          </cell>
          <cell r="L225">
            <v>0</v>
          </cell>
          <cell r="M225">
            <v>5</v>
          </cell>
          <cell r="N225">
            <v>5</v>
          </cell>
          <cell r="O225">
            <v>27333.54</v>
          </cell>
          <cell r="P225">
            <v>54.2</v>
          </cell>
        </row>
        <row r="226">
          <cell r="A226">
            <v>5.001</v>
          </cell>
          <cell r="C226" t="str">
            <v>ADJUSTMENT DISORDERS &amp; NEUROSES EXCEPT DEPRESSIVE DIAGNOSES                       </v>
          </cell>
          <cell r="D226">
            <v>1</v>
          </cell>
          <cell r="E226">
            <v>0</v>
          </cell>
          <cell r="F226">
            <v>4</v>
          </cell>
          <cell r="G226">
            <v>0</v>
          </cell>
          <cell r="H226">
            <v>0</v>
          </cell>
          <cell r="I226">
            <v>5</v>
          </cell>
          <cell r="J226">
            <v>1</v>
          </cell>
          <cell r="K226">
            <v>4</v>
          </cell>
          <cell r="L226">
            <v>0</v>
          </cell>
          <cell r="M226">
            <v>5</v>
          </cell>
          <cell r="N226">
            <v>4</v>
          </cell>
          <cell r="O226">
            <v>16356.1</v>
          </cell>
          <cell r="P226">
            <v>45.6</v>
          </cell>
        </row>
        <row r="227">
          <cell r="A227">
            <v>5.001</v>
          </cell>
          <cell r="C227" t="str">
            <v>NEONATE BWT 1250-1499G W RESP DIST SYND/OTH MAJ RESP OR MAJ ANOM                  </v>
          </cell>
          <cell r="D227">
            <v>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5</v>
          </cell>
          <cell r="J227">
            <v>3</v>
          </cell>
          <cell r="K227">
            <v>2</v>
          </cell>
          <cell r="L227">
            <v>0</v>
          </cell>
          <cell r="M227">
            <v>5</v>
          </cell>
          <cell r="N227">
            <v>20.4</v>
          </cell>
          <cell r="O227">
            <v>38114.84</v>
          </cell>
          <cell r="P227">
            <v>0</v>
          </cell>
        </row>
        <row r="228">
          <cell r="A228">
            <v>5.001</v>
          </cell>
          <cell r="C228" t="str">
            <v>ECTOPIC PREGNANCY PROCEDURE                                                       </v>
          </cell>
          <cell r="D228">
            <v>0</v>
          </cell>
          <cell r="E228">
            <v>5</v>
          </cell>
          <cell r="F228">
            <v>0</v>
          </cell>
          <cell r="G228">
            <v>0</v>
          </cell>
          <cell r="H228">
            <v>0</v>
          </cell>
          <cell r="I228">
            <v>5</v>
          </cell>
          <cell r="J228">
            <v>0</v>
          </cell>
          <cell r="K228">
            <v>5</v>
          </cell>
          <cell r="L228">
            <v>0</v>
          </cell>
          <cell r="M228">
            <v>5</v>
          </cell>
          <cell r="N228">
            <v>2.2</v>
          </cell>
          <cell r="O228">
            <v>18269.54</v>
          </cell>
          <cell r="P228">
            <v>31.6</v>
          </cell>
        </row>
        <row r="229">
          <cell r="A229">
            <v>5.001</v>
          </cell>
          <cell r="C229" t="str">
            <v>MAJOR PANCREAS, LIVER &amp; SHUNT PROCEDURES                                          </v>
          </cell>
          <cell r="D229">
            <v>0</v>
          </cell>
          <cell r="E229">
            <v>2</v>
          </cell>
          <cell r="F229">
            <v>1</v>
          </cell>
          <cell r="G229">
            <v>2</v>
          </cell>
          <cell r="H229">
            <v>0</v>
          </cell>
          <cell r="I229">
            <v>5</v>
          </cell>
          <cell r="J229">
            <v>4</v>
          </cell>
          <cell r="K229">
            <v>1</v>
          </cell>
          <cell r="L229">
            <v>0</v>
          </cell>
          <cell r="M229">
            <v>5</v>
          </cell>
          <cell r="N229">
            <v>6</v>
          </cell>
          <cell r="O229">
            <v>30682.18</v>
          </cell>
          <cell r="P229">
            <v>53</v>
          </cell>
        </row>
        <row r="230">
          <cell r="A230">
            <v>5.001</v>
          </cell>
          <cell r="C230" t="str">
            <v>CARDIAC STRUCTURAL &amp; VALVULAR DISORDERS                                           </v>
          </cell>
          <cell r="D230">
            <v>0</v>
          </cell>
          <cell r="E230">
            <v>0</v>
          </cell>
          <cell r="F230">
            <v>2</v>
          </cell>
          <cell r="G230">
            <v>3</v>
          </cell>
          <cell r="H230">
            <v>0</v>
          </cell>
          <cell r="I230">
            <v>5</v>
          </cell>
          <cell r="J230">
            <v>1</v>
          </cell>
          <cell r="K230">
            <v>4</v>
          </cell>
          <cell r="L230">
            <v>0</v>
          </cell>
          <cell r="M230">
            <v>5</v>
          </cell>
          <cell r="N230">
            <v>6.2</v>
          </cell>
          <cell r="O230">
            <v>24482.14</v>
          </cell>
          <cell r="P230">
            <v>68.2</v>
          </cell>
        </row>
        <row r="231">
          <cell r="A231">
            <v>5</v>
          </cell>
          <cell r="C231" t="str">
            <v>ACUTE MAJOR EYE INFECTIONS                                                        </v>
          </cell>
          <cell r="D231">
            <v>2</v>
          </cell>
          <cell r="E231">
            <v>2</v>
          </cell>
          <cell r="F231">
            <v>1</v>
          </cell>
          <cell r="G231">
            <v>0</v>
          </cell>
          <cell r="H231">
            <v>0</v>
          </cell>
          <cell r="I231">
            <v>5</v>
          </cell>
          <cell r="J231">
            <v>2</v>
          </cell>
          <cell r="K231">
            <v>3</v>
          </cell>
          <cell r="L231">
            <v>0</v>
          </cell>
          <cell r="M231">
            <v>5</v>
          </cell>
          <cell r="N231">
            <v>3.4</v>
          </cell>
          <cell r="O231">
            <v>9738.36</v>
          </cell>
          <cell r="P231">
            <v>27.6</v>
          </cell>
        </row>
        <row r="232">
          <cell r="A232">
            <v>4.001</v>
          </cell>
          <cell r="C232" t="str">
            <v>DEPRESSION EXCEPT MAJOR DEPRESSIVE DISORDER                                       </v>
          </cell>
          <cell r="D232">
            <v>0</v>
          </cell>
          <cell r="E232">
            <v>0</v>
          </cell>
          <cell r="F232">
            <v>3</v>
          </cell>
          <cell r="G232">
            <v>1</v>
          </cell>
          <cell r="H232">
            <v>0</v>
          </cell>
          <cell r="I232">
            <v>4</v>
          </cell>
          <cell r="J232">
            <v>3</v>
          </cell>
          <cell r="K232">
            <v>1</v>
          </cell>
          <cell r="L232">
            <v>0</v>
          </cell>
          <cell r="M232">
            <v>4</v>
          </cell>
          <cell r="N232">
            <v>2.5</v>
          </cell>
          <cell r="O232">
            <v>10519.95</v>
          </cell>
          <cell r="P232">
            <v>64</v>
          </cell>
        </row>
        <row r="233">
          <cell r="A233">
            <v>4.001</v>
          </cell>
          <cell r="C233" t="str">
            <v>SCHIZOPHRENIA                                                                     </v>
          </cell>
          <cell r="D233">
            <v>0</v>
          </cell>
          <cell r="E233">
            <v>1</v>
          </cell>
          <cell r="F233">
            <v>2</v>
          </cell>
          <cell r="G233">
            <v>1</v>
          </cell>
          <cell r="H233">
            <v>0</v>
          </cell>
          <cell r="I233">
            <v>4</v>
          </cell>
          <cell r="J233">
            <v>0</v>
          </cell>
          <cell r="K233">
            <v>4</v>
          </cell>
          <cell r="L233">
            <v>0</v>
          </cell>
          <cell r="M233">
            <v>4</v>
          </cell>
          <cell r="N233">
            <v>3.3</v>
          </cell>
          <cell r="O233">
            <v>13192.15</v>
          </cell>
          <cell r="P233">
            <v>54.8</v>
          </cell>
        </row>
        <row r="234">
          <cell r="A234">
            <v>4.001</v>
          </cell>
          <cell r="C234" t="str">
            <v>MAJOR O.R. PROCEDURES FOR LYMPHATIC/HEMATOPOIETIC/OTHER NEOPLASMS                 </v>
          </cell>
          <cell r="D234">
            <v>0</v>
          </cell>
          <cell r="E234">
            <v>0</v>
          </cell>
          <cell r="F234">
            <v>2</v>
          </cell>
          <cell r="G234">
            <v>2</v>
          </cell>
          <cell r="H234">
            <v>0</v>
          </cell>
          <cell r="I234">
            <v>4</v>
          </cell>
          <cell r="J234">
            <v>1</v>
          </cell>
          <cell r="K234">
            <v>3</v>
          </cell>
          <cell r="L234">
            <v>0</v>
          </cell>
          <cell r="M234">
            <v>4</v>
          </cell>
          <cell r="N234">
            <v>8.3</v>
          </cell>
          <cell r="O234">
            <v>37245.35</v>
          </cell>
          <cell r="P234">
            <v>68.3</v>
          </cell>
        </row>
        <row r="235">
          <cell r="A235">
            <v>4.001</v>
          </cell>
          <cell r="C235" t="str">
            <v>NEONATE BWT 1250-1499G W OR W/O OTHER SIGNIFICANT CONDITION                       </v>
          </cell>
          <cell r="D235">
            <v>4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4</v>
          </cell>
          <cell r="J235">
            <v>3</v>
          </cell>
          <cell r="K235">
            <v>1</v>
          </cell>
          <cell r="L235">
            <v>0</v>
          </cell>
          <cell r="M235">
            <v>4</v>
          </cell>
          <cell r="N235">
            <v>22.8</v>
          </cell>
          <cell r="O235">
            <v>35579.13</v>
          </cell>
          <cell r="P235">
            <v>0</v>
          </cell>
        </row>
        <row r="236">
          <cell r="A236">
            <v>4.001</v>
          </cell>
          <cell r="C236" t="str">
            <v>UTERINE &amp; ADNEXA PROCEDURES FOR OVARIAN &amp; ADNEXAL MALIGNANCY                      </v>
          </cell>
          <cell r="D236">
            <v>0</v>
          </cell>
          <cell r="E236">
            <v>0</v>
          </cell>
          <cell r="F236">
            <v>1</v>
          </cell>
          <cell r="G236">
            <v>3</v>
          </cell>
          <cell r="H236">
            <v>0</v>
          </cell>
          <cell r="I236">
            <v>4</v>
          </cell>
          <cell r="J236">
            <v>0</v>
          </cell>
          <cell r="K236">
            <v>4</v>
          </cell>
          <cell r="L236">
            <v>0</v>
          </cell>
          <cell r="M236">
            <v>4</v>
          </cell>
          <cell r="N236">
            <v>6</v>
          </cell>
          <cell r="O236">
            <v>34533.53</v>
          </cell>
          <cell r="P236">
            <v>71.3</v>
          </cell>
        </row>
        <row r="237">
          <cell r="A237">
            <v>4.001</v>
          </cell>
          <cell r="C237" t="str">
            <v>EAR, NOSE, MOUTH, THROAT, CRANIAL/FACIAL MALIGNANCIES                             </v>
          </cell>
          <cell r="D237">
            <v>0</v>
          </cell>
          <cell r="E237">
            <v>0</v>
          </cell>
          <cell r="F237">
            <v>2</v>
          </cell>
          <cell r="G237">
            <v>2</v>
          </cell>
          <cell r="H237">
            <v>0</v>
          </cell>
          <cell r="I237">
            <v>4</v>
          </cell>
          <cell r="J237">
            <v>3</v>
          </cell>
          <cell r="K237">
            <v>1</v>
          </cell>
          <cell r="L237">
            <v>0</v>
          </cell>
          <cell r="M237">
            <v>4</v>
          </cell>
          <cell r="N237">
            <v>6.3</v>
          </cell>
          <cell r="O237">
            <v>30538.38</v>
          </cell>
          <cell r="P237">
            <v>61.8</v>
          </cell>
        </row>
        <row r="238">
          <cell r="A238">
            <v>4</v>
          </cell>
          <cell r="C238" t="str">
            <v>HEAD TRAUMA W COMA &gt;1 HR OR HEMORRHAGE                                            </v>
          </cell>
          <cell r="D238">
            <v>0</v>
          </cell>
          <cell r="E238">
            <v>1</v>
          </cell>
          <cell r="F238">
            <v>1</v>
          </cell>
          <cell r="G238">
            <v>2</v>
          </cell>
          <cell r="H238">
            <v>0</v>
          </cell>
          <cell r="I238">
            <v>4</v>
          </cell>
          <cell r="J238">
            <v>2</v>
          </cell>
          <cell r="K238">
            <v>2</v>
          </cell>
          <cell r="L238">
            <v>0</v>
          </cell>
          <cell r="M238">
            <v>4</v>
          </cell>
          <cell r="N238">
            <v>4.3</v>
          </cell>
          <cell r="O238">
            <v>21211.45</v>
          </cell>
          <cell r="P238">
            <v>59.3</v>
          </cell>
        </row>
        <row r="239">
          <cell r="A239">
            <v>3.001</v>
          </cell>
          <cell r="C239" t="str">
            <v>OTHER AFTERCARE &amp; CONVALESCENCE                                                   </v>
          </cell>
          <cell r="D239">
            <v>0</v>
          </cell>
          <cell r="E239">
            <v>0</v>
          </cell>
          <cell r="F239">
            <v>1</v>
          </cell>
          <cell r="G239">
            <v>2</v>
          </cell>
          <cell r="H239">
            <v>0</v>
          </cell>
          <cell r="I239">
            <v>3</v>
          </cell>
          <cell r="J239">
            <v>1</v>
          </cell>
          <cell r="K239">
            <v>2</v>
          </cell>
          <cell r="L239">
            <v>0</v>
          </cell>
          <cell r="M239">
            <v>3</v>
          </cell>
          <cell r="N239">
            <v>5.7</v>
          </cell>
          <cell r="O239">
            <v>10724.93</v>
          </cell>
          <cell r="P239">
            <v>77.3</v>
          </cell>
        </row>
        <row r="240">
          <cell r="A240">
            <v>3.001</v>
          </cell>
          <cell r="C240" t="str">
            <v>PARTIAL THICKNESS BURNS W OR W/O SKIN GRAFT                                       </v>
          </cell>
          <cell r="D240">
            <v>0</v>
          </cell>
          <cell r="E240">
            <v>0</v>
          </cell>
          <cell r="F240">
            <v>2</v>
          </cell>
          <cell r="G240">
            <v>1</v>
          </cell>
          <cell r="H240">
            <v>0</v>
          </cell>
          <cell r="I240">
            <v>3</v>
          </cell>
          <cell r="J240">
            <v>0</v>
          </cell>
          <cell r="K240">
            <v>3</v>
          </cell>
          <cell r="L240">
            <v>0</v>
          </cell>
          <cell r="M240">
            <v>3</v>
          </cell>
          <cell r="N240">
            <v>5.3</v>
          </cell>
          <cell r="O240">
            <v>16952.47</v>
          </cell>
          <cell r="P240">
            <v>58</v>
          </cell>
        </row>
        <row r="241">
          <cell r="A241">
            <v>3.001</v>
          </cell>
          <cell r="C241" t="str">
            <v>ACUTE LEUKEMIA                                                                    </v>
          </cell>
          <cell r="D241">
            <v>0</v>
          </cell>
          <cell r="E241">
            <v>1</v>
          </cell>
          <cell r="F241">
            <v>0</v>
          </cell>
          <cell r="G241">
            <v>2</v>
          </cell>
          <cell r="H241">
            <v>0</v>
          </cell>
          <cell r="I241">
            <v>3</v>
          </cell>
          <cell r="J241">
            <v>2</v>
          </cell>
          <cell r="K241">
            <v>1</v>
          </cell>
          <cell r="L241">
            <v>0</v>
          </cell>
          <cell r="M241">
            <v>3</v>
          </cell>
          <cell r="N241">
            <v>2.3</v>
          </cell>
          <cell r="O241">
            <v>8513.93</v>
          </cell>
          <cell r="P241">
            <v>59.3</v>
          </cell>
        </row>
        <row r="242">
          <cell r="A242">
            <v>3.001</v>
          </cell>
          <cell r="C242" t="str">
            <v>OTHER O.R. PROCEDURES FOR LYMPHATIC/HEMATOPOIETIC/OTHER NEOPLASMS                 </v>
          </cell>
          <cell r="D242">
            <v>0</v>
          </cell>
          <cell r="E242">
            <v>0</v>
          </cell>
          <cell r="F242">
            <v>3</v>
          </cell>
          <cell r="G242">
            <v>0</v>
          </cell>
          <cell r="H242">
            <v>0</v>
          </cell>
          <cell r="I242">
            <v>3</v>
          </cell>
          <cell r="J242">
            <v>2</v>
          </cell>
          <cell r="K242">
            <v>1</v>
          </cell>
          <cell r="L242">
            <v>0</v>
          </cell>
          <cell r="M242">
            <v>3</v>
          </cell>
          <cell r="N242">
            <v>12</v>
          </cell>
          <cell r="O242">
            <v>71772.37</v>
          </cell>
          <cell r="P242">
            <v>55.7</v>
          </cell>
        </row>
        <row r="243">
          <cell r="A243">
            <v>3.001</v>
          </cell>
          <cell r="C243" t="str">
            <v>OTHER PROCEDURES OF BLOOD &amp; BLOOD-FORMING ORGANS                                  </v>
          </cell>
          <cell r="D243">
            <v>1</v>
          </cell>
          <cell r="E243">
            <v>1</v>
          </cell>
          <cell r="F243">
            <v>0</v>
          </cell>
          <cell r="G243">
            <v>1</v>
          </cell>
          <cell r="H243">
            <v>0</v>
          </cell>
          <cell r="I243">
            <v>3</v>
          </cell>
          <cell r="J243">
            <v>0</v>
          </cell>
          <cell r="K243">
            <v>3</v>
          </cell>
          <cell r="L243">
            <v>0</v>
          </cell>
          <cell r="M243">
            <v>3</v>
          </cell>
          <cell r="N243">
            <v>3.7</v>
          </cell>
          <cell r="O243">
            <v>19964.63</v>
          </cell>
          <cell r="P243">
            <v>39.3</v>
          </cell>
        </row>
        <row r="244">
          <cell r="A244">
            <v>3.001</v>
          </cell>
          <cell r="C244" t="str">
            <v>SPLENECTOMY                                                                       </v>
          </cell>
          <cell r="D244">
            <v>0</v>
          </cell>
          <cell r="E244">
            <v>1</v>
          </cell>
          <cell r="F244">
            <v>1</v>
          </cell>
          <cell r="G244">
            <v>1</v>
          </cell>
          <cell r="H244">
            <v>0</v>
          </cell>
          <cell r="I244">
            <v>3</v>
          </cell>
          <cell r="J244">
            <v>1</v>
          </cell>
          <cell r="K244">
            <v>2</v>
          </cell>
          <cell r="L244">
            <v>0</v>
          </cell>
          <cell r="M244">
            <v>3</v>
          </cell>
          <cell r="N244">
            <v>15.7</v>
          </cell>
          <cell r="O244">
            <v>86955.03</v>
          </cell>
          <cell r="P244">
            <v>56</v>
          </cell>
        </row>
        <row r="245">
          <cell r="A245">
            <v>3.001</v>
          </cell>
          <cell r="C245" t="str">
            <v>FEMALE REPRODUCTIVE SYSTEM MALIGNANCY                                             </v>
          </cell>
          <cell r="D245">
            <v>0</v>
          </cell>
          <cell r="E245">
            <v>0</v>
          </cell>
          <cell r="F245">
            <v>1</v>
          </cell>
          <cell r="G245">
            <v>2</v>
          </cell>
          <cell r="H245">
            <v>0</v>
          </cell>
          <cell r="I245">
            <v>3</v>
          </cell>
          <cell r="J245">
            <v>0</v>
          </cell>
          <cell r="K245">
            <v>3</v>
          </cell>
          <cell r="L245">
            <v>0</v>
          </cell>
          <cell r="M245">
            <v>3</v>
          </cell>
          <cell r="N245">
            <v>2</v>
          </cell>
          <cell r="O245">
            <v>11042.2</v>
          </cell>
          <cell r="P245">
            <v>73.3</v>
          </cell>
        </row>
        <row r="246">
          <cell r="A246">
            <v>3.001</v>
          </cell>
          <cell r="C246" t="str">
            <v>PELVIC EVISCERATION, RADICAL HYSTERECTOMY &amp; OTHER RADICAL GYN PROCS               </v>
          </cell>
          <cell r="D246">
            <v>0</v>
          </cell>
          <cell r="E246">
            <v>1</v>
          </cell>
          <cell r="F246">
            <v>2</v>
          </cell>
          <cell r="G246">
            <v>0</v>
          </cell>
          <cell r="H246">
            <v>0</v>
          </cell>
          <cell r="I246">
            <v>3</v>
          </cell>
          <cell r="J246">
            <v>0</v>
          </cell>
          <cell r="K246">
            <v>3</v>
          </cell>
          <cell r="L246">
            <v>0</v>
          </cell>
          <cell r="M246">
            <v>3</v>
          </cell>
          <cell r="N246">
            <v>3</v>
          </cell>
          <cell r="O246">
            <v>24272.8</v>
          </cell>
          <cell r="P246">
            <v>45.7</v>
          </cell>
        </row>
        <row r="247">
          <cell r="A247">
            <v>3.001</v>
          </cell>
          <cell r="C247" t="str">
            <v>MALIGNANCY, MALE REPRODUCTIVE SYSTEM                                              </v>
          </cell>
          <cell r="D247">
            <v>0</v>
          </cell>
          <cell r="E247">
            <v>0</v>
          </cell>
          <cell r="F247">
            <v>0</v>
          </cell>
          <cell r="G247">
            <v>3</v>
          </cell>
          <cell r="H247">
            <v>0</v>
          </cell>
          <cell r="I247">
            <v>3</v>
          </cell>
          <cell r="J247">
            <v>3</v>
          </cell>
          <cell r="K247">
            <v>0</v>
          </cell>
          <cell r="L247">
            <v>0</v>
          </cell>
          <cell r="M247">
            <v>3</v>
          </cell>
          <cell r="N247">
            <v>5</v>
          </cell>
          <cell r="O247">
            <v>23021.67</v>
          </cell>
          <cell r="P247">
            <v>71.7</v>
          </cell>
        </row>
        <row r="248">
          <cell r="A248">
            <v>3.001</v>
          </cell>
          <cell r="C248" t="str">
            <v>OTHER MALE REPRODUCTIVE SYSTEM &amp; RELATED PROCEDURES                               </v>
          </cell>
          <cell r="D248">
            <v>0</v>
          </cell>
          <cell r="E248">
            <v>0</v>
          </cell>
          <cell r="F248">
            <v>3</v>
          </cell>
          <cell r="G248">
            <v>0</v>
          </cell>
          <cell r="H248">
            <v>0</v>
          </cell>
          <cell r="I248">
            <v>3</v>
          </cell>
          <cell r="J248">
            <v>3</v>
          </cell>
          <cell r="K248">
            <v>0</v>
          </cell>
          <cell r="L248">
            <v>0</v>
          </cell>
          <cell r="M248">
            <v>3</v>
          </cell>
          <cell r="N248">
            <v>7</v>
          </cell>
          <cell r="O248">
            <v>30760.23</v>
          </cell>
          <cell r="P248">
            <v>51</v>
          </cell>
        </row>
        <row r="249">
          <cell r="A249">
            <v>3.001</v>
          </cell>
          <cell r="C249" t="str">
            <v>NEPHRITIS &amp; NEPHROSIS                                                             </v>
          </cell>
          <cell r="D249">
            <v>0</v>
          </cell>
          <cell r="E249">
            <v>2</v>
          </cell>
          <cell r="F249">
            <v>1</v>
          </cell>
          <cell r="G249">
            <v>0</v>
          </cell>
          <cell r="H249">
            <v>0</v>
          </cell>
          <cell r="I249">
            <v>3</v>
          </cell>
          <cell r="J249">
            <v>2</v>
          </cell>
          <cell r="K249">
            <v>1</v>
          </cell>
          <cell r="L249">
            <v>0</v>
          </cell>
          <cell r="M249">
            <v>3</v>
          </cell>
          <cell r="N249">
            <v>5.7</v>
          </cell>
          <cell r="O249">
            <v>13900.7</v>
          </cell>
          <cell r="P249">
            <v>48</v>
          </cell>
        </row>
        <row r="250">
          <cell r="A250">
            <v>3.001</v>
          </cell>
          <cell r="C250" t="str">
            <v>OTHER BLADDER PROCEDURES                                                          </v>
          </cell>
          <cell r="D250">
            <v>0</v>
          </cell>
          <cell r="E250">
            <v>1</v>
          </cell>
          <cell r="F250">
            <v>0</v>
          </cell>
          <cell r="G250">
            <v>2</v>
          </cell>
          <cell r="H250">
            <v>0</v>
          </cell>
          <cell r="I250">
            <v>3</v>
          </cell>
          <cell r="J250">
            <v>2</v>
          </cell>
          <cell r="K250">
            <v>1</v>
          </cell>
          <cell r="L250">
            <v>0</v>
          </cell>
          <cell r="M250">
            <v>3</v>
          </cell>
          <cell r="N250">
            <v>2.3</v>
          </cell>
          <cell r="O250">
            <v>22529.5</v>
          </cell>
          <cell r="P250">
            <v>67.7</v>
          </cell>
        </row>
        <row r="251">
          <cell r="A251">
            <v>3.001</v>
          </cell>
          <cell r="C251" t="str">
            <v>MAJOR BLADDER PROCEDURES                                                          </v>
          </cell>
          <cell r="D251">
            <v>0</v>
          </cell>
          <cell r="E251">
            <v>0</v>
          </cell>
          <cell r="F251">
            <v>2</v>
          </cell>
          <cell r="G251">
            <v>1</v>
          </cell>
          <cell r="H251">
            <v>0</v>
          </cell>
          <cell r="I251">
            <v>3</v>
          </cell>
          <cell r="J251">
            <v>1</v>
          </cell>
          <cell r="K251">
            <v>2</v>
          </cell>
          <cell r="L251">
            <v>0</v>
          </cell>
          <cell r="M251">
            <v>3</v>
          </cell>
          <cell r="N251">
            <v>7.3</v>
          </cell>
          <cell r="O251">
            <v>29557.23</v>
          </cell>
          <cell r="P251">
            <v>61.7</v>
          </cell>
        </row>
        <row r="252">
          <cell r="A252">
            <v>3.001</v>
          </cell>
          <cell r="C252" t="str">
            <v>INBORN ERRORS OF METABOLISM                                                       </v>
          </cell>
          <cell r="D252">
            <v>0</v>
          </cell>
          <cell r="E252">
            <v>0</v>
          </cell>
          <cell r="F252">
            <v>2</v>
          </cell>
          <cell r="G252">
            <v>1</v>
          </cell>
          <cell r="H252">
            <v>0</v>
          </cell>
          <cell r="I252">
            <v>3</v>
          </cell>
          <cell r="J252">
            <v>2</v>
          </cell>
          <cell r="K252">
            <v>1</v>
          </cell>
          <cell r="L252">
            <v>0</v>
          </cell>
          <cell r="M252">
            <v>3</v>
          </cell>
          <cell r="N252">
            <v>4.3</v>
          </cell>
          <cell r="O252">
            <v>13897.67</v>
          </cell>
          <cell r="P252">
            <v>69</v>
          </cell>
        </row>
        <row r="253">
          <cell r="A253">
            <v>3.001</v>
          </cell>
          <cell r="C253" t="str">
            <v>ACUTE &amp; SUBACUTE ENDOCARDITIS                                                     </v>
          </cell>
          <cell r="D253">
            <v>0</v>
          </cell>
          <cell r="E253">
            <v>0</v>
          </cell>
          <cell r="F253">
            <v>2</v>
          </cell>
          <cell r="G253">
            <v>1</v>
          </cell>
          <cell r="H253">
            <v>0</v>
          </cell>
          <cell r="I253">
            <v>3</v>
          </cell>
          <cell r="J253">
            <v>3</v>
          </cell>
          <cell r="K253">
            <v>0</v>
          </cell>
          <cell r="L253">
            <v>0</v>
          </cell>
          <cell r="M253">
            <v>3</v>
          </cell>
          <cell r="N253">
            <v>6.7</v>
          </cell>
          <cell r="O253">
            <v>34490.83</v>
          </cell>
          <cell r="P253">
            <v>61.3</v>
          </cell>
        </row>
        <row r="254">
          <cell r="A254">
            <v>3.001</v>
          </cell>
          <cell r="C254" t="str">
            <v>SPINAL DISORDERS &amp; INJURIES                                                       </v>
          </cell>
          <cell r="D254">
            <v>0</v>
          </cell>
          <cell r="E254">
            <v>1</v>
          </cell>
          <cell r="F254">
            <v>2</v>
          </cell>
          <cell r="G254">
            <v>0</v>
          </cell>
          <cell r="H254">
            <v>0</v>
          </cell>
          <cell r="I254">
            <v>3</v>
          </cell>
          <cell r="J254">
            <v>3</v>
          </cell>
          <cell r="K254">
            <v>0</v>
          </cell>
          <cell r="L254">
            <v>0</v>
          </cell>
          <cell r="M254">
            <v>3</v>
          </cell>
          <cell r="N254">
            <v>4.7</v>
          </cell>
          <cell r="O254">
            <v>22110.43</v>
          </cell>
          <cell r="P254">
            <v>44</v>
          </cell>
        </row>
        <row r="255">
          <cell r="A255">
            <v>3</v>
          </cell>
          <cell r="C255" t="str">
            <v>TRACHEOSTOMY W LONG TERM MECHANICAL VENTILATION W EXTENSIVE PROCEDURE             </v>
          </cell>
          <cell r="D255">
            <v>0</v>
          </cell>
          <cell r="E255">
            <v>1</v>
          </cell>
          <cell r="F255">
            <v>1</v>
          </cell>
          <cell r="G255">
            <v>1</v>
          </cell>
          <cell r="H255">
            <v>0</v>
          </cell>
          <cell r="I255">
            <v>3</v>
          </cell>
          <cell r="J255">
            <v>2</v>
          </cell>
          <cell r="K255">
            <v>1</v>
          </cell>
          <cell r="L255">
            <v>0</v>
          </cell>
          <cell r="M255">
            <v>3</v>
          </cell>
          <cell r="N255">
            <v>36.7</v>
          </cell>
          <cell r="O255">
            <v>236785.97</v>
          </cell>
          <cell r="P255">
            <v>56</v>
          </cell>
        </row>
        <row r="256">
          <cell r="A256">
            <v>2.001</v>
          </cell>
          <cell r="C256" t="str">
            <v>EXTENSIVE 3RD DEGREE OR FULL THICKNESS BURNS W/O SKIN GRAFT                       </v>
          </cell>
          <cell r="D256">
            <v>0</v>
          </cell>
          <cell r="E256">
            <v>2</v>
          </cell>
          <cell r="F256">
            <v>0</v>
          </cell>
          <cell r="G256">
            <v>0</v>
          </cell>
          <cell r="H256">
            <v>0</v>
          </cell>
          <cell r="I256">
            <v>2</v>
          </cell>
          <cell r="J256">
            <v>2</v>
          </cell>
          <cell r="K256">
            <v>0</v>
          </cell>
          <cell r="L256">
            <v>0</v>
          </cell>
          <cell r="M256">
            <v>2</v>
          </cell>
          <cell r="N256">
            <v>1.5</v>
          </cell>
          <cell r="O256">
            <v>12167.7</v>
          </cell>
          <cell r="P256">
            <v>37.5</v>
          </cell>
        </row>
        <row r="257">
          <cell r="A257">
            <v>2.001</v>
          </cell>
          <cell r="C257" t="str">
            <v>OTHER MENTAL HEALTH DISORDERS                                                     </v>
          </cell>
          <cell r="D257">
            <v>0</v>
          </cell>
          <cell r="E257">
            <v>1</v>
          </cell>
          <cell r="F257">
            <v>0</v>
          </cell>
          <cell r="G257">
            <v>1</v>
          </cell>
          <cell r="H257">
            <v>0</v>
          </cell>
          <cell r="I257">
            <v>2</v>
          </cell>
          <cell r="J257">
            <v>0</v>
          </cell>
          <cell r="K257">
            <v>2</v>
          </cell>
          <cell r="L257">
            <v>0</v>
          </cell>
          <cell r="M257">
            <v>2</v>
          </cell>
          <cell r="N257">
            <v>6.5</v>
          </cell>
          <cell r="O257">
            <v>16577.55</v>
          </cell>
          <cell r="P257">
            <v>51</v>
          </cell>
        </row>
        <row r="258">
          <cell r="A258">
            <v>2.001</v>
          </cell>
          <cell r="C258" t="str">
            <v>BIPOLAR DISORDERS                                                                 </v>
          </cell>
          <cell r="D258">
            <v>0</v>
          </cell>
          <cell r="E258">
            <v>1</v>
          </cell>
          <cell r="F258">
            <v>0</v>
          </cell>
          <cell r="G258">
            <v>1</v>
          </cell>
          <cell r="H258">
            <v>0</v>
          </cell>
          <cell r="I258">
            <v>2</v>
          </cell>
          <cell r="J258">
            <v>1</v>
          </cell>
          <cell r="K258">
            <v>1</v>
          </cell>
          <cell r="L258">
            <v>0</v>
          </cell>
          <cell r="M258">
            <v>2</v>
          </cell>
          <cell r="N258">
            <v>100.5</v>
          </cell>
          <cell r="O258">
            <v>193156.8</v>
          </cell>
          <cell r="P258">
            <v>55.5</v>
          </cell>
        </row>
        <row r="259">
          <cell r="A259">
            <v>2.001</v>
          </cell>
          <cell r="C259" t="str">
            <v>NEONATE BWT 2000-2499G W MAJOR ANOMALY                                            </v>
          </cell>
          <cell r="D259">
            <v>2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2</v>
          </cell>
          <cell r="J259">
            <v>1</v>
          </cell>
          <cell r="K259">
            <v>1</v>
          </cell>
          <cell r="L259">
            <v>0</v>
          </cell>
          <cell r="M259">
            <v>2</v>
          </cell>
          <cell r="N259">
            <v>6.5</v>
          </cell>
          <cell r="O259">
            <v>10291.65</v>
          </cell>
          <cell r="P259">
            <v>0</v>
          </cell>
        </row>
        <row r="260">
          <cell r="A260">
            <v>2.001</v>
          </cell>
          <cell r="C260" t="str">
            <v>DILATION &amp; CURETTAGE FOR NON-OBSTETRIC DIAGNOSES                                  </v>
          </cell>
          <cell r="D260">
            <v>0</v>
          </cell>
          <cell r="E260">
            <v>1</v>
          </cell>
          <cell r="F260">
            <v>1</v>
          </cell>
          <cell r="G260">
            <v>0</v>
          </cell>
          <cell r="H260">
            <v>0</v>
          </cell>
          <cell r="I260">
            <v>2</v>
          </cell>
          <cell r="J260">
            <v>0</v>
          </cell>
          <cell r="K260">
            <v>2</v>
          </cell>
          <cell r="L260">
            <v>0</v>
          </cell>
          <cell r="M260">
            <v>2</v>
          </cell>
          <cell r="N260">
            <v>5</v>
          </cell>
          <cell r="O260">
            <v>24697.65</v>
          </cell>
          <cell r="P260">
            <v>46.5</v>
          </cell>
        </row>
        <row r="261">
          <cell r="A261">
            <v>2.001</v>
          </cell>
          <cell r="C261" t="str">
            <v>TESTES &amp; SCROTAL PROCEDURES                                                       </v>
          </cell>
          <cell r="D261">
            <v>1</v>
          </cell>
          <cell r="E261">
            <v>0</v>
          </cell>
          <cell r="F261">
            <v>0</v>
          </cell>
          <cell r="G261">
            <v>1</v>
          </cell>
          <cell r="H261">
            <v>0</v>
          </cell>
          <cell r="I261">
            <v>2</v>
          </cell>
          <cell r="J261">
            <v>2</v>
          </cell>
          <cell r="K261">
            <v>0</v>
          </cell>
          <cell r="L261">
            <v>0</v>
          </cell>
          <cell r="M261">
            <v>2</v>
          </cell>
          <cell r="N261">
            <v>3</v>
          </cell>
          <cell r="O261">
            <v>15143.65</v>
          </cell>
          <cell r="P261">
            <v>40</v>
          </cell>
        </row>
        <row r="262">
          <cell r="A262">
            <v>2.001</v>
          </cell>
          <cell r="C262" t="str">
            <v>PENIS PROCEDURES                                                                  </v>
          </cell>
          <cell r="D262">
            <v>0</v>
          </cell>
          <cell r="E262">
            <v>1</v>
          </cell>
          <cell r="F262">
            <v>0</v>
          </cell>
          <cell r="G262">
            <v>1</v>
          </cell>
          <cell r="H262">
            <v>0</v>
          </cell>
          <cell r="I262">
            <v>2</v>
          </cell>
          <cell r="J262">
            <v>2</v>
          </cell>
          <cell r="K262">
            <v>0</v>
          </cell>
          <cell r="L262">
            <v>0</v>
          </cell>
          <cell r="M262">
            <v>2</v>
          </cell>
          <cell r="N262">
            <v>2</v>
          </cell>
          <cell r="O262">
            <v>10839.8</v>
          </cell>
          <cell r="P262">
            <v>47.5</v>
          </cell>
        </row>
        <row r="263">
          <cell r="A263">
            <v>2.001</v>
          </cell>
          <cell r="C263" t="str">
            <v>SKIN GRAFT, EXCEPT HAND, FOR MUSCULOSKELETAL &amp; CONNECTIVE TISSUE DIAGNOSES        </v>
          </cell>
          <cell r="D263">
            <v>0</v>
          </cell>
          <cell r="E263">
            <v>0</v>
          </cell>
          <cell r="F263">
            <v>2</v>
          </cell>
          <cell r="G263">
            <v>0</v>
          </cell>
          <cell r="H263">
            <v>0</v>
          </cell>
          <cell r="I263">
            <v>2</v>
          </cell>
          <cell r="J263">
            <v>2</v>
          </cell>
          <cell r="K263">
            <v>0</v>
          </cell>
          <cell r="L263">
            <v>0</v>
          </cell>
          <cell r="M263">
            <v>2</v>
          </cell>
          <cell r="N263">
            <v>3</v>
          </cell>
          <cell r="O263">
            <v>13164.45</v>
          </cell>
          <cell r="P263">
            <v>57</v>
          </cell>
        </row>
        <row r="264">
          <cell r="A264">
            <v>2.001</v>
          </cell>
          <cell r="C264" t="str">
            <v>PERMANENT CARDIAC PACEMAKER IMPLANT W AMI, HEART FAILURE OR SHOCK                 </v>
          </cell>
          <cell r="D264">
            <v>0</v>
          </cell>
          <cell r="E264">
            <v>0</v>
          </cell>
          <cell r="F264">
            <v>0</v>
          </cell>
          <cell r="G264">
            <v>2</v>
          </cell>
          <cell r="H264">
            <v>0</v>
          </cell>
          <cell r="I264">
            <v>2</v>
          </cell>
          <cell r="J264">
            <v>1</v>
          </cell>
          <cell r="K264">
            <v>1</v>
          </cell>
          <cell r="L264">
            <v>0</v>
          </cell>
          <cell r="M264">
            <v>2</v>
          </cell>
          <cell r="N264">
            <v>7</v>
          </cell>
          <cell r="O264">
            <v>45333.15</v>
          </cell>
          <cell r="P264">
            <v>71.5</v>
          </cell>
        </row>
        <row r="265">
          <cell r="A265">
            <v>2.001</v>
          </cell>
          <cell r="C265" t="str">
            <v>OTHER CARDIOTHORACIC PROCEDURES                                                   </v>
          </cell>
          <cell r="D265">
            <v>0</v>
          </cell>
          <cell r="E265">
            <v>1</v>
          </cell>
          <cell r="F265">
            <v>1</v>
          </cell>
          <cell r="G265">
            <v>0</v>
          </cell>
          <cell r="H265">
            <v>0</v>
          </cell>
          <cell r="I265">
            <v>2</v>
          </cell>
          <cell r="J265">
            <v>1</v>
          </cell>
          <cell r="K265">
            <v>1</v>
          </cell>
          <cell r="L265">
            <v>0</v>
          </cell>
          <cell r="M265">
            <v>2</v>
          </cell>
          <cell r="N265">
            <v>9</v>
          </cell>
          <cell r="O265">
            <v>80739.65</v>
          </cell>
          <cell r="P265">
            <v>50</v>
          </cell>
        </row>
        <row r="266">
          <cell r="A266">
            <v>2.001</v>
          </cell>
          <cell r="C266" t="str">
            <v>BRAIN CONTUSION/LACERATION &amp; COMPLICATED SKULL FX, COMA &lt; 1 HR OR NO COMA         </v>
          </cell>
          <cell r="D266">
            <v>0</v>
          </cell>
          <cell r="E266">
            <v>0</v>
          </cell>
          <cell r="F266">
            <v>0</v>
          </cell>
          <cell r="G266">
            <v>2</v>
          </cell>
          <cell r="H266">
            <v>0</v>
          </cell>
          <cell r="I266">
            <v>2</v>
          </cell>
          <cell r="J266">
            <v>1</v>
          </cell>
          <cell r="K266">
            <v>1</v>
          </cell>
          <cell r="L266">
            <v>0</v>
          </cell>
          <cell r="M266">
            <v>2</v>
          </cell>
          <cell r="N266">
            <v>2.5</v>
          </cell>
          <cell r="O266">
            <v>11151.1</v>
          </cell>
          <cell r="P266">
            <v>80.5</v>
          </cell>
        </row>
        <row r="267">
          <cell r="A267">
            <v>2</v>
          </cell>
          <cell r="C267" t="str">
            <v>SPINAL PROCEDURES                                                                 </v>
          </cell>
          <cell r="D267">
            <v>0</v>
          </cell>
          <cell r="E267">
            <v>0</v>
          </cell>
          <cell r="F267">
            <v>1</v>
          </cell>
          <cell r="G267">
            <v>1</v>
          </cell>
          <cell r="H267">
            <v>0</v>
          </cell>
          <cell r="I267">
            <v>2</v>
          </cell>
          <cell r="J267">
            <v>2</v>
          </cell>
          <cell r="K267">
            <v>0</v>
          </cell>
          <cell r="L267">
            <v>0</v>
          </cell>
          <cell r="M267">
            <v>2</v>
          </cell>
          <cell r="N267">
            <v>8.5</v>
          </cell>
          <cell r="O267">
            <v>49095.25</v>
          </cell>
          <cell r="P267">
            <v>64.5</v>
          </cell>
        </row>
        <row r="268">
          <cell r="A268">
            <v>1.001</v>
          </cell>
          <cell r="C268" t="str">
            <v>EATING DISORDERS                                                                  </v>
          </cell>
          <cell r="D268">
            <v>0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1</v>
          </cell>
          <cell r="J268">
            <v>1</v>
          </cell>
          <cell r="K268">
            <v>0</v>
          </cell>
          <cell r="L268">
            <v>0</v>
          </cell>
          <cell r="M268">
            <v>1</v>
          </cell>
          <cell r="N268">
            <v>7</v>
          </cell>
          <cell r="O268">
            <v>26518.7</v>
          </cell>
          <cell r="P268">
            <v>30</v>
          </cell>
        </row>
        <row r="269">
          <cell r="A269">
            <v>1.001</v>
          </cell>
          <cell r="C269" t="str">
            <v>CHEMOTHERAPY                                                                      </v>
          </cell>
          <cell r="D269">
            <v>0</v>
          </cell>
          <cell r="E269">
            <v>0</v>
          </cell>
          <cell r="F269">
            <v>1</v>
          </cell>
          <cell r="G269">
            <v>0</v>
          </cell>
          <cell r="H269">
            <v>0</v>
          </cell>
          <cell r="I269">
            <v>1</v>
          </cell>
          <cell r="J269">
            <v>0</v>
          </cell>
          <cell r="K269">
            <v>1</v>
          </cell>
          <cell r="L269">
            <v>0</v>
          </cell>
          <cell r="M269">
            <v>1</v>
          </cell>
          <cell r="N269">
            <v>4</v>
          </cell>
          <cell r="O269">
            <v>22125.7</v>
          </cell>
          <cell r="P269">
            <v>58</v>
          </cell>
        </row>
        <row r="270">
          <cell r="A270">
            <v>1.001</v>
          </cell>
          <cell r="C270" t="str">
            <v>NEONATE BIRTHWT &gt;2499G W CONGENITAL/PERINATAL INFECTION                           </v>
          </cell>
          <cell r="D270">
            <v>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1</v>
          </cell>
          <cell r="J270">
            <v>0</v>
          </cell>
          <cell r="K270">
            <v>1</v>
          </cell>
          <cell r="L270">
            <v>0</v>
          </cell>
          <cell r="M270">
            <v>1</v>
          </cell>
          <cell r="N270">
            <v>9</v>
          </cell>
          <cell r="O270">
            <v>14330.7</v>
          </cell>
          <cell r="P270">
            <v>0</v>
          </cell>
        </row>
        <row r="271">
          <cell r="A271">
            <v>1.001</v>
          </cell>
          <cell r="C271" t="str">
            <v>NEONATE BIRTHWT 1500-1999G W MAJOR ANOMALY                                        </v>
          </cell>
          <cell r="D271">
            <v>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1</v>
          </cell>
          <cell r="J271">
            <v>0</v>
          </cell>
          <cell r="K271">
            <v>1</v>
          </cell>
          <cell r="L271">
            <v>0</v>
          </cell>
          <cell r="M271">
            <v>1</v>
          </cell>
          <cell r="N271">
            <v>32</v>
          </cell>
          <cell r="O271">
            <v>64537</v>
          </cell>
          <cell r="P271">
            <v>0</v>
          </cell>
        </row>
        <row r="272">
          <cell r="A272">
            <v>1.001</v>
          </cell>
          <cell r="C272" t="str">
            <v>NEONATE BIRTHWT 1000-1249G W OR W/O OTHER SIGNIFICANT CONDITION                   </v>
          </cell>
          <cell r="D272">
            <v>1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1</v>
          </cell>
          <cell r="J272">
            <v>1</v>
          </cell>
          <cell r="K272">
            <v>0</v>
          </cell>
          <cell r="L272">
            <v>0</v>
          </cell>
          <cell r="M272">
            <v>1</v>
          </cell>
          <cell r="N272">
            <v>30</v>
          </cell>
          <cell r="O272">
            <v>49858.1</v>
          </cell>
          <cell r="P272">
            <v>0</v>
          </cell>
        </row>
        <row r="273">
          <cell r="A273">
            <v>1.001</v>
          </cell>
          <cell r="C273" t="str">
            <v>NEONATE BWT 1000-1249G W RESP DIST SYND/OTH MAJ RESP OR MAJ ANOM                  </v>
          </cell>
          <cell r="D273">
            <v>1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1</v>
          </cell>
          <cell r="J273">
            <v>0</v>
          </cell>
          <cell r="K273">
            <v>1</v>
          </cell>
          <cell r="L273">
            <v>0</v>
          </cell>
          <cell r="M273">
            <v>1</v>
          </cell>
          <cell r="N273">
            <v>31</v>
          </cell>
          <cell r="O273">
            <v>63788.7</v>
          </cell>
          <cell r="P273">
            <v>0</v>
          </cell>
        </row>
        <row r="274">
          <cell r="A274">
            <v>1.001</v>
          </cell>
          <cell r="C274" t="str">
            <v>OTHER O.R. PROC FOR OBSTETRIC DIAGNOSES EXCEPT DELIVERY DIAGNOSES                 </v>
          </cell>
          <cell r="D274">
            <v>0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1</v>
          </cell>
          <cell r="J274">
            <v>0</v>
          </cell>
          <cell r="K274">
            <v>1</v>
          </cell>
          <cell r="L274">
            <v>0</v>
          </cell>
          <cell r="M274">
            <v>1</v>
          </cell>
          <cell r="N274">
            <v>2</v>
          </cell>
          <cell r="O274">
            <v>13996.5</v>
          </cell>
          <cell r="P274">
            <v>19</v>
          </cell>
        </row>
        <row r="275">
          <cell r="A275">
            <v>1.001</v>
          </cell>
          <cell r="C275" t="str">
            <v>CLEFT LIP &amp; PALATE REPAIR                                                         </v>
          </cell>
          <cell r="D275">
            <v>0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1</v>
          </cell>
          <cell r="J275">
            <v>1</v>
          </cell>
          <cell r="K275">
            <v>0</v>
          </cell>
          <cell r="L275">
            <v>0</v>
          </cell>
          <cell r="M275">
            <v>1</v>
          </cell>
          <cell r="N275">
            <v>3</v>
          </cell>
          <cell r="O275">
            <v>9844.5</v>
          </cell>
          <cell r="P275">
            <v>40</v>
          </cell>
        </row>
        <row r="276">
          <cell r="A276">
            <v>1.001</v>
          </cell>
          <cell r="C276" t="str">
            <v>SINUS &amp; MASTOID PROCEDURES                                                        </v>
          </cell>
          <cell r="D276">
            <v>0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1</v>
          </cell>
          <cell r="J276">
            <v>1</v>
          </cell>
          <cell r="K276">
            <v>0</v>
          </cell>
          <cell r="L276">
            <v>0</v>
          </cell>
          <cell r="M276">
            <v>1</v>
          </cell>
          <cell r="N276">
            <v>2</v>
          </cell>
          <cell r="O276">
            <v>15216.7</v>
          </cell>
          <cell r="P276">
            <v>25</v>
          </cell>
        </row>
        <row r="277">
          <cell r="A277">
            <v>1.001</v>
          </cell>
          <cell r="C277" t="str">
            <v>ORBITAL PROCEDURES                                                                </v>
          </cell>
          <cell r="D277">
            <v>0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1</v>
          </cell>
          <cell r="J277">
            <v>0</v>
          </cell>
          <cell r="K277">
            <v>1</v>
          </cell>
          <cell r="L277">
            <v>0</v>
          </cell>
          <cell r="M277">
            <v>1</v>
          </cell>
          <cell r="N277">
            <v>2</v>
          </cell>
          <cell r="O277">
            <v>27651.7</v>
          </cell>
          <cell r="P277">
            <v>31</v>
          </cell>
        </row>
        <row r="278">
          <cell r="I278">
            <v>12031</v>
          </cell>
        </row>
        <row r="279">
          <cell r="I279">
            <v>19804</v>
          </cell>
        </row>
      </sheetData>
      <sheetData sheetId="17">
        <row r="5">
          <cell r="A5">
            <v>769</v>
          </cell>
          <cell r="B5" t="str">
            <v>drg</v>
          </cell>
          <cell r="C5" t="str">
            <v>NEONATE BIRTHWT &gt;2499G, NORMAL NEWBORN OR NEONATE W OTHER PROBLEM                 </v>
          </cell>
          <cell r="D5">
            <v>769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769</v>
          </cell>
          <cell r="J5">
            <v>388</v>
          </cell>
          <cell r="K5">
            <v>381</v>
          </cell>
          <cell r="L5">
            <v>0</v>
          </cell>
          <cell r="M5">
            <v>769</v>
          </cell>
          <cell r="N5">
            <v>2.3</v>
          </cell>
          <cell r="O5">
            <v>3438.03</v>
          </cell>
          <cell r="P5">
            <v>0</v>
          </cell>
        </row>
        <row r="6">
          <cell r="A6">
            <v>563</v>
          </cell>
          <cell r="C6" t="str">
            <v>VAGINAL DELIVERY                                                                  </v>
          </cell>
          <cell r="D6">
            <v>19</v>
          </cell>
          <cell r="E6">
            <v>542</v>
          </cell>
          <cell r="F6">
            <v>2</v>
          </cell>
          <cell r="G6">
            <v>0</v>
          </cell>
          <cell r="H6">
            <v>0</v>
          </cell>
          <cell r="I6">
            <v>563</v>
          </cell>
          <cell r="J6">
            <v>0</v>
          </cell>
          <cell r="K6">
            <v>563</v>
          </cell>
          <cell r="L6">
            <v>0</v>
          </cell>
          <cell r="M6">
            <v>563</v>
          </cell>
          <cell r="N6">
            <v>2.2</v>
          </cell>
          <cell r="O6">
            <v>8434.6</v>
          </cell>
          <cell r="P6">
            <v>27.1</v>
          </cell>
        </row>
        <row r="7">
          <cell r="A7">
            <v>295</v>
          </cell>
          <cell r="C7" t="str">
            <v>OTHER AFTERCARE &amp; CONVALESCENCE                                                   </v>
          </cell>
          <cell r="D7">
            <v>0</v>
          </cell>
          <cell r="E7">
            <v>10</v>
          </cell>
          <cell r="F7">
            <v>62</v>
          </cell>
          <cell r="G7">
            <v>223</v>
          </cell>
          <cell r="H7">
            <v>0</v>
          </cell>
          <cell r="I7">
            <v>295</v>
          </cell>
          <cell r="J7">
            <v>116</v>
          </cell>
          <cell r="K7">
            <v>179</v>
          </cell>
          <cell r="L7">
            <v>0</v>
          </cell>
          <cell r="M7">
            <v>295</v>
          </cell>
          <cell r="N7">
            <v>6.7</v>
          </cell>
          <cell r="O7">
            <v>1643.19</v>
          </cell>
          <cell r="P7">
            <v>75.8</v>
          </cell>
        </row>
        <row r="8">
          <cell r="A8">
            <v>267</v>
          </cell>
          <cell r="C8" t="str">
            <v>CESAREAN DELIVERY                                                                 </v>
          </cell>
          <cell r="D8">
            <v>10</v>
          </cell>
          <cell r="E8">
            <v>256</v>
          </cell>
          <cell r="F8">
            <v>1</v>
          </cell>
          <cell r="G8">
            <v>0</v>
          </cell>
          <cell r="H8">
            <v>0</v>
          </cell>
          <cell r="I8">
            <v>267</v>
          </cell>
          <cell r="J8">
            <v>0</v>
          </cell>
          <cell r="K8">
            <v>267</v>
          </cell>
          <cell r="L8">
            <v>0</v>
          </cell>
          <cell r="M8">
            <v>267</v>
          </cell>
          <cell r="N8">
            <v>3.2</v>
          </cell>
          <cell r="O8">
            <v>12318.09</v>
          </cell>
          <cell r="P8">
            <v>29.5</v>
          </cell>
        </row>
        <row r="9">
          <cell r="A9">
            <v>202</v>
          </cell>
          <cell r="C9" t="str">
            <v>HEART FAILURE                                                                     </v>
          </cell>
          <cell r="D9">
            <v>0</v>
          </cell>
          <cell r="E9">
            <v>11</v>
          </cell>
          <cell r="F9">
            <v>60</v>
          </cell>
          <cell r="G9">
            <v>131</v>
          </cell>
          <cell r="H9">
            <v>0</v>
          </cell>
          <cell r="I9">
            <v>202</v>
          </cell>
          <cell r="J9">
            <v>83</v>
          </cell>
          <cell r="K9">
            <v>119</v>
          </cell>
          <cell r="L9">
            <v>0</v>
          </cell>
          <cell r="M9">
            <v>202</v>
          </cell>
          <cell r="N9">
            <v>4.3</v>
          </cell>
          <cell r="O9">
            <v>19978.74</v>
          </cell>
          <cell r="P9">
            <v>70.2</v>
          </cell>
        </row>
        <row r="10">
          <cell r="A10">
            <v>191</v>
          </cell>
          <cell r="C10" t="str">
            <v>CHEST PAIN                                                                        </v>
          </cell>
          <cell r="D10">
            <v>0</v>
          </cell>
          <cell r="E10">
            <v>33</v>
          </cell>
          <cell r="F10">
            <v>96</v>
          </cell>
          <cell r="G10">
            <v>62</v>
          </cell>
          <cell r="H10">
            <v>0</v>
          </cell>
          <cell r="I10">
            <v>191</v>
          </cell>
          <cell r="J10">
            <v>84</v>
          </cell>
          <cell r="K10">
            <v>107</v>
          </cell>
          <cell r="L10">
            <v>0</v>
          </cell>
          <cell r="M10">
            <v>191</v>
          </cell>
          <cell r="N10">
            <v>1.8</v>
          </cell>
          <cell r="O10">
            <v>14410.5</v>
          </cell>
          <cell r="P10">
            <v>58.6</v>
          </cell>
        </row>
        <row r="11">
          <cell r="A11">
            <v>180</v>
          </cell>
          <cell r="C11" t="str">
            <v>CHRONIC OBSTRUCTIVE PULMONARY DISEASE                                             </v>
          </cell>
          <cell r="D11">
            <v>0</v>
          </cell>
          <cell r="E11">
            <v>8</v>
          </cell>
          <cell r="F11">
            <v>73</v>
          </cell>
          <cell r="G11">
            <v>99</v>
          </cell>
          <cell r="H11">
            <v>0</v>
          </cell>
          <cell r="I11">
            <v>180</v>
          </cell>
          <cell r="J11">
            <v>83</v>
          </cell>
          <cell r="K11">
            <v>97</v>
          </cell>
          <cell r="L11">
            <v>0</v>
          </cell>
          <cell r="M11">
            <v>180</v>
          </cell>
          <cell r="N11">
            <v>4.1</v>
          </cell>
          <cell r="O11">
            <v>18550.53</v>
          </cell>
          <cell r="P11">
            <v>66.8</v>
          </cell>
        </row>
        <row r="12">
          <cell r="A12">
            <v>152</v>
          </cell>
          <cell r="C12" t="str">
            <v>RENAL FAILURE                                                                     </v>
          </cell>
          <cell r="D12">
            <v>0</v>
          </cell>
          <cell r="E12">
            <v>11</v>
          </cell>
          <cell r="F12">
            <v>48</v>
          </cell>
          <cell r="G12">
            <v>93</v>
          </cell>
          <cell r="H12">
            <v>0</v>
          </cell>
          <cell r="I12">
            <v>152</v>
          </cell>
          <cell r="J12">
            <v>67</v>
          </cell>
          <cell r="K12">
            <v>85</v>
          </cell>
          <cell r="L12">
            <v>0</v>
          </cell>
          <cell r="M12">
            <v>152</v>
          </cell>
          <cell r="N12">
            <v>6.1</v>
          </cell>
          <cell r="O12">
            <v>25008.26</v>
          </cell>
          <cell r="P12">
            <v>68.9</v>
          </cell>
        </row>
        <row r="13">
          <cell r="A13">
            <v>145</v>
          </cell>
          <cell r="C13" t="str">
            <v>OTHER PNEUMONIA                                                                   </v>
          </cell>
          <cell r="D13">
            <v>0</v>
          </cell>
          <cell r="E13">
            <v>24</v>
          </cell>
          <cell r="F13">
            <v>44</v>
          </cell>
          <cell r="G13">
            <v>77</v>
          </cell>
          <cell r="H13">
            <v>0</v>
          </cell>
          <cell r="I13">
            <v>145</v>
          </cell>
          <cell r="J13">
            <v>73</v>
          </cell>
          <cell r="K13">
            <v>72</v>
          </cell>
          <cell r="L13">
            <v>0</v>
          </cell>
          <cell r="M13">
            <v>145</v>
          </cell>
          <cell r="N13">
            <v>3.9</v>
          </cell>
          <cell r="O13">
            <v>18391.86</v>
          </cell>
          <cell r="P13">
            <v>63</v>
          </cell>
        </row>
        <row r="14">
          <cell r="A14">
            <v>121</v>
          </cell>
          <cell r="C14" t="str">
            <v>KIDNEY &amp; URINARY TRACT INFECTIONS                                                 </v>
          </cell>
          <cell r="D14">
            <v>1</v>
          </cell>
          <cell r="E14">
            <v>15</v>
          </cell>
          <cell r="F14">
            <v>30</v>
          </cell>
          <cell r="G14">
            <v>75</v>
          </cell>
          <cell r="H14">
            <v>0</v>
          </cell>
          <cell r="I14">
            <v>121</v>
          </cell>
          <cell r="J14">
            <v>29</v>
          </cell>
          <cell r="K14">
            <v>92</v>
          </cell>
          <cell r="L14">
            <v>0</v>
          </cell>
          <cell r="M14">
            <v>121</v>
          </cell>
          <cell r="N14">
            <v>4.4</v>
          </cell>
          <cell r="O14">
            <v>17485.69</v>
          </cell>
          <cell r="P14">
            <v>68.5</v>
          </cell>
        </row>
        <row r="15">
          <cell r="A15">
            <v>117</v>
          </cell>
          <cell r="C15" t="str">
            <v>CARDIAC CATHETERIZATION FOR ISCHEMIC HEART DISEASE                                </v>
          </cell>
          <cell r="D15">
            <v>0</v>
          </cell>
          <cell r="E15">
            <v>11</v>
          </cell>
          <cell r="F15">
            <v>71</v>
          </cell>
          <cell r="G15">
            <v>35</v>
          </cell>
          <cell r="H15">
            <v>0</v>
          </cell>
          <cell r="I15">
            <v>117</v>
          </cell>
          <cell r="J15">
            <v>47</v>
          </cell>
          <cell r="K15">
            <v>70</v>
          </cell>
          <cell r="L15">
            <v>0</v>
          </cell>
          <cell r="M15">
            <v>117</v>
          </cell>
          <cell r="N15">
            <v>3.2</v>
          </cell>
          <cell r="O15">
            <v>34316.83</v>
          </cell>
          <cell r="P15">
            <v>60.2</v>
          </cell>
        </row>
        <row r="16">
          <cell r="A16">
            <v>112.001</v>
          </cell>
          <cell r="C16" t="str">
            <v>CELLULITIS &amp; OTHER BACTERIAL SKIN INFECTIONS                                      </v>
          </cell>
          <cell r="D16">
            <v>1</v>
          </cell>
          <cell r="E16">
            <v>44</v>
          </cell>
          <cell r="F16">
            <v>41</v>
          </cell>
          <cell r="G16">
            <v>26</v>
          </cell>
          <cell r="H16">
            <v>0</v>
          </cell>
          <cell r="I16">
            <v>112</v>
          </cell>
          <cell r="J16">
            <v>57</v>
          </cell>
          <cell r="K16">
            <v>55</v>
          </cell>
          <cell r="L16">
            <v>0</v>
          </cell>
          <cell r="M16">
            <v>112</v>
          </cell>
          <cell r="N16">
            <v>3.3</v>
          </cell>
          <cell r="O16">
            <v>14333.92</v>
          </cell>
          <cell r="P16">
            <v>50.8</v>
          </cell>
        </row>
        <row r="17">
          <cell r="A17">
            <v>112</v>
          </cell>
          <cell r="C17" t="str">
            <v>CARDIAC ARRHYTHMIA &amp; CONDUCTION DISORDERS                                         </v>
          </cell>
          <cell r="D17">
            <v>0</v>
          </cell>
          <cell r="E17">
            <v>5</v>
          </cell>
          <cell r="F17">
            <v>28</v>
          </cell>
          <cell r="G17">
            <v>79</v>
          </cell>
          <cell r="H17">
            <v>0</v>
          </cell>
          <cell r="I17">
            <v>112</v>
          </cell>
          <cell r="J17">
            <v>56</v>
          </cell>
          <cell r="K17">
            <v>56</v>
          </cell>
          <cell r="L17">
            <v>0</v>
          </cell>
          <cell r="M17">
            <v>112</v>
          </cell>
          <cell r="N17">
            <v>3.1</v>
          </cell>
          <cell r="O17">
            <v>14559.66</v>
          </cell>
          <cell r="P17">
            <v>71.9</v>
          </cell>
        </row>
        <row r="18">
          <cell r="A18">
            <v>110</v>
          </cell>
          <cell r="C18" t="str">
            <v>PERCUTANEOUS CARDIOVASCULAR PROCEDURES W/O AMI                                    </v>
          </cell>
          <cell r="D18">
            <v>0</v>
          </cell>
          <cell r="E18">
            <v>5</v>
          </cell>
          <cell r="F18">
            <v>52</v>
          </cell>
          <cell r="G18">
            <v>53</v>
          </cell>
          <cell r="H18">
            <v>0</v>
          </cell>
          <cell r="I18">
            <v>110</v>
          </cell>
          <cell r="J18">
            <v>61</v>
          </cell>
          <cell r="K18">
            <v>49</v>
          </cell>
          <cell r="L18">
            <v>0</v>
          </cell>
          <cell r="M18">
            <v>110</v>
          </cell>
          <cell r="N18">
            <v>3.3</v>
          </cell>
          <cell r="O18">
            <v>60117.22</v>
          </cell>
          <cell r="P18">
            <v>64.3</v>
          </cell>
        </row>
        <row r="19">
          <cell r="A19">
            <v>101</v>
          </cell>
          <cell r="C19" t="str">
            <v>PROCEDURES FOR OBESITY                                                            </v>
          </cell>
          <cell r="D19">
            <v>0</v>
          </cell>
          <cell r="E19">
            <v>46</v>
          </cell>
          <cell r="F19">
            <v>47</v>
          </cell>
          <cell r="G19">
            <v>8</v>
          </cell>
          <cell r="H19">
            <v>0</v>
          </cell>
          <cell r="I19">
            <v>101</v>
          </cell>
          <cell r="J19">
            <v>13</v>
          </cell>
          <cell r="K19">
            <v>88</v>
          </cell>
          <cell r="L19">
            <v>0</v>
          </cell>
          <cell r="M19">
            <v>101</v>
          </cell>
          <cell r="N19">
            <v>1.9</v>
          </cell>
          <cell r="O19">
            <v>33440.79</v>
          </cell>
          <cell r="P19">
            <v>46.3</v>
          </cell>
        </row>
        <row r="20">
          <cell r="A20">
            <v>99</v>
          </cell>
          <cell r="C20" t="str">
            <v>REHABILITATION                                                                    </v>
          </cell>
          <cell r="D20">
            <v>0</v>
          </cell>
          <cell r="E20">
            <v>7</v>
          </cell>
          <cell r="F20">
            <v>24</v>
          </cell>
          <cell r="G20">
            <v>68</v>
          </cell>
          <cell r="H20">
            <v>0</v>
          </cell>
          <cell r="I20">
            <v>99</v>
          </cell>
          <cell r="J20">
            <v>39</v>
          </cell>
          <cell r="K20">
            <v>60</v>
          </cell>
          <cell r="L20">
            <v>0</v>
          </cell>
          <cell r="M20">
            <v>99</v>
          </cell>
          <cell r="N20">
            <v>15.9</v>
          </cell>
          <cell r="O20">
            <v>39122.37</v>
          </cell>
          <cell r="P20">
            <v>70.9</v>
          </cell>
        </row>
        <row r="21">
          <cell r="A21">
            <v>95</v>
          </cell>
          <cell r="C21" t="str">
            <v>DIABETES                                                                          </v>
          </cell>
          <cell r="D21">
            <v>1</v>
          </cell>
          <cell r="E21">
            <v>20</v>
          </cell>
          <cell r="F21">
            <v>42</v>
          </cell>
          <cell r="G21">
            <v>32</v>
          </cell>
          <cell r="H21">
            <v>0</v>
          </cell>
          <cell r="I21">
            <v>95</v>
          </cell>
          <cell r="J21">
            <v>50</v>
          </cell>
          <cell r="K21">
            <v>45</v>
          </cell>
          <cell r="L21">
            <v>0</v>
          </cell>
          <cell r="M21">
            <v>95</v>
          </cell>
          <cell r="N21">
            <v>3.9</v>
          </cell>
          <cell r="O21">
            <v>17080.18</v>
          </cell>
          <cell r="P21">
            <v>58</v>
          </cell>
        </row>
        <row r="22">
          <cell r="A22">
            <v>87</v>
          </cell>
          <cell r="C22" t="str">
            <v>SYNCOPE &amp; COLLAPSE                                                                </v>
          </cell>
          <cell r="D22">
            <v>0</v>
          </cell>
          <cell r="E22">
            <v>4</v>
          </cell>
          <cell r="F22">
            <v>24</v>
          </cell>
          <cell r="G22">
            <v>59</v>
          </cell>
          <cell r="H22">
            <v>0</v>
          </cell>
          <cell r="I22">
            <v>87</v>
          </cell>
          <cell r="J22">
            <v>27</v>
          </cell>
          <cell r="K22">
            <v>60</v>
          </cell>
          <cell r="L22">
            <v>0</v>
          </cell>
          <cell r="M22">
            <v>87</v>
          </cell>
          <cell r="N22">
            <v>2.6</v>
          </cell>
          <cell r="O22">
            <v>13732.92</v>
          </cell>
          <cell r="P22">
            <v>71.7</v>
          </cell>
        </row>
        <row r="23">
          <cell r="A23">
            <v>86</v>
          </cell>
          <cell r="C23" t="str">
            <v>CVA &amp; PRECEREBRAL OCCLUSION  W INFARCT                                            </v>
          </cell>
          <cell r="D23">
            <v>0</v>
          </cell>
          <cell r="E23">
            <v>4</v>
          </cell>
          <cell r="F23">
            <v>25</v>
          </cell>
          <cell r="G23">
            <v>57</v>
          </cell>
          <cell r="H23">
            <v>0</v>
          </cell>
          <cell r="I23">
            <v>86</v>
          </cell>
          <cell r="J23">
            <v>33</v>
          </cell>
          <cell r="K23">
            <v>53</v>
          </cell>
          <cell r="L23">
            <v>0</v>
          </cell>
          <cell r="M23">
            <v>86</v>
          </cell>
          <cell r="N23">
            <v>6.2</v>
          </cell>
          <cell r="O23">
            <v>27923.18</v>
          </cell>
          <cell r="P23">
            <v>70.8</v>
          </cell>
        </row>
        <row r="24">
          <cell r="A24">
            <v>84.001</v>
          </cell>
          <cell r="C24" t="str">
            <v>UTERINE &amp; ADNEXA PROCEDURES FOR LEIOMYOMA                                         </v>
          </cell>
          <cell r="D24">
            <v>0</v>
          </cell>
          <cell r="E24">
            <v>36</v>
          </cell>
          <cell r="F24">
            <v>47</v>
          </cell>
          <cell r="G24">
            <v>1</v>
          </cell>
          <cell r="H24">
            <v>0</v>
          </cell>
          <cell r="I24">
            <v>84</v>
          </cell>
          <cell r="J24">
            <v>0</v>
          </cell>
          <cell r="K24">
            <v>84</v>
          </cell>
          <cell r="L24">
            <v>0</v>
          </cell>
          <cell r="M24">
            <v>84</v>
          </cell>
          <cell r="N24">
            <v>2.1</v>
          </cell>
          <cell r="O24">
            <v>20574.2</v>
          </cell>
          <cell r="P24">
            <v>44.6</v>
          </cell>
        </row>
        <row r="25">
          <cell r="A25">
            <v>84</v>
          </cell>
          <cell r="C25" t="str">
            <v>UTERINE &amp; ADNEXA PROCEDURES FOR NON-MALIGNANCY EXCEPT LEIOMYOMA                   </v>
          </cell>
          <cell r="D25">
            <v>1</v>
          </cell>
          <cell r="E25">
            <v>43</v>
          </cell>
          <cell r="F25">
            <v>33</v>
          </cell>
          <cell r="G25">
            <v>7</v>
          </cell>
          <cell r="H25">
            <v>0</v>
          </cell>
          <cell r="I25">
            <v>84</v>
          </cell>
          <cell r="J25">
            <v>0</v>
          </cell>
          <cell r="K25">
            <v>84</v>
          </cell>
          <cell r="L25">
            <v>0</v>
          </cell>
          <cell r="M25">
            <v>84</v>
          </cell>
          <cell r="N25">
            <v>2</v>
          </cell>
          <cell r="O25">
            <v>22367.55</v>
          </cell>
          <cell r="P25">
            <v>44.1</v>
          </cell>
        </row>
        <row r="26">
          <cell r="A26">
            <v>83</v>
          </cell>
          <cell r="C26" t="str">
            <v>OTHER DIGESTIVE SYSTEM DIAGNOSES                                                  </v>
          </cell>
          <cell r="D26">
            <v>0</v>
          </cell>
          <cell r="E26">
            <v>15</v>
          </cell>
          <cell r="F26">
            <v>24</v>
          </cell>
          <cell r="G26">
            <v>44</v>
          </cell>
          <cell r="H26">
            <v>0</v>
          </cell>
          <cell r="I26">
            <v>83</v>
          </cell>
          <cell r="J26">
            <v>34</v>
          </cell>
          <cell r="K26">
            <v>49</v>
          </cell>
          <cell r="L26">
            <v>0</v>
          </cell>
          <cell r="M26">
            <v>83</v>
          </cell>
          <cell r="N26">
            <v>3.6</v>
          </cell>
          <cell r="O26">
            <v>16735.95</v>
          </cell>
          <cell r="P26">
            <v>64.1</v>
          </cell>
        </row>
        <row r="27">
          <cell r="A27">
            <v>79</v>
          </cell>
          <cell r="C27" t="str">
            <v>DIVERTICULITIS &amp; DIVERTICULOSIS                                                   </v>
          </cell>
          <cell r="D27">
            <v>0</v>
          </cell>
          <cell r="E27">
            <v>8</v>
          </cell>
          <cell r="F27">
            <v>24</v>
          </cell>
          <cell r="G27">
            <v>47</v>
          </cell>
          <cell r="H27">
            <v>0</v>
          </cell>
          <cell r="I27">
            <v>79</v>
          </cell>
          <cell r="J27">
            <v>37</v>
          </cell>
          <cell r="K27">
            <v>42</v>
          </cell>
          <cell r="L27">
            <v>0</v>
          </cell>
          <cell r="M27">
            <v>79</v>
          </cell>
          <cell r="N27">
            <v>3.7</v>
          </cell>
          <cell r="O27">
            <v>19090.41</v>
          </cell>
          <cell r="P27">
            <v>66.4</v>
          </cell>
        </row>
        <row r="28">
          <cell r="A28">
            <v>78</v>
          </cell>
          <cell r="C28" t="str">
            <v>PERCUTANEOUS CARDIOVASCULAR PROCEDURES W AMI                                      </v>
          </cell>
          <cell r="D28">
            <v>0</v>
          </cell>
          <cell r="E28">
            <v>2</v>
          </cell>
          <cell r="F28">
            <v>46</v>
          </cell>
          <cell r="G28">
            <v>30</v>
          </cell>
          <cell r="H28">
            <v>0</v>
          </cell>
          <cell r="I28">
            <v>78</v>
          </cell>
          <cell r="J28">
            <v>45</v>
          </cell>
          <cell r="K28">
            <v>33</v>
          </cell>
          <cell r="L28">
            <v>0</v>
          </cell>
          <cell r="M28">
            <v>78</v>
          </cell>
          <cell r="N28">
            <v>4</v>
          </cell>
          <cell r="O28">
            <v>63287.87</v>
          </cell>
          <cell r="P28">
            <v>64.3</v>
          </cell>
        </row>
        <row r="29">
          <cell r="A29">
            <v>74</v>
          </cell>
          <cell r="C29" t="str">
            <v>ANGINA PECTORIS &amp; CORONARY ATHEROSCLEROSIS                                        </v>
          </cell>
          <cell r="D29">
            <v>0</v>
          </cell>
          <cell r="E29">
            <v>5</v>
          </cell>
          <cell r="F29">
            <v>31</v>
          </cell>
          <cell r="G29">
            <v>38</v>
          </cell>
          <cell r="H29">
            <v>0</v>
          </cell>
          <cell r="I29">
            <v>74</v>
          </cell>
          <cell r="J29">
            <v>35</v>
          </cell>
          <cell r="K29">
            <v>39</v>
          </cell>
          <cell r="L29">
            <v>0</v>
          </cell>
          <cell r="M29">
            <v>74</v>
          </cell>
          <cell r="N29">
            <v>2.1</v>
          </cell>
          <cell r="O29">
            <v>13736.97</v>
          </cell>
          <cell r="P29">
            <v>65.8</v>
          </cell>
        </row>
        <row r="30">
          <cell r="A30">
            <v>69</v>
          </cell>
          <cell r="C30" t="str">
            <v>SEPTICEMIA &amp; DISSEMINATED INFECTIONS                                              </v>
          </cell>
          <cell r="D30">
            <v>0</v>
          </cell>
          <cell r="E30">
            <v>6</v>
          </cell>
          <cell r="F30">
            <v>18</v>
          </cell>
          <cell r="G30">
            <v>45</v>
          </cell>
          <cell r="H30">
            <v>0</v>
          </cell>
          <cell r="I30">
            <v>69</v>
          </cell>
          <cell r="J30">
            <v>31</v>
          </cell>
          <cell r="K30">
            <v>38</v>
          </cell>
          <cell r="L30">
            <v>0</v>
          </cell>
          <cell r="M30">
            <v>69</v>
          </cell>
          <cell r="N30">
            <v>6.2</v>
          </cell>
          <cell r="O30">
            <v>33588.69</v>
          </cell>
          <cell r="P30">
            <v>68.9</v>
          </cell>
        </row>
        <row r="31">
          <cell r="A31">
            <v>68</v>
          </cell>
          <cell r="C31" t="str">
            <v>HIP JOINT REPLACEMENT                                                             </v>
          </cell>
          <cell r="D31">
            <v>0</v>
          </cell>
          <cell r="E31">
            <v>10</v>
          </cell>
          <cell r="F31">
            <v>24</v>
          </cell>
          <cell r="G31">
            <v>34</v>
          </cell>
          <cell r="H31">
            <v>0</v>
          </cell>
          <cell r="I31">
            <v>68</v>
          </cell>
          <cell r="J31">
            <v>35</v>
          </cell>
          <cell r="K31">
            <v>33</v>
          </cell>
          <cell r="L31">
            <v>0</v>
          </cell>
          <cell r="M31">
            <v>68</v>
          </cell>
          <cell r="N31">
            <v>4.2</v>
          </cell>
          <cell r="O31">
            <v>56448.13</v>
          </cell>
          <cell r="P31">
            <v>64.8</v>
          </cell>
        </row>
        <row r="32">
          <cell r="A32">
            <v>65.001</v>
          </cell>
          <cell r="C32" t="str">
            <v>PERIPHERAL &amp; OTHER VASCULAR DISORDERS                                             </v>
          </cell>
          <cell r="D32">
            <v>0</v>
          </cell>
          <cell r="E32">
            <v>9</v>
          </cell>
          <cell r="F32">
            <v>28</v>
          </cell>
          <cell r="G32">
            <v>28</v>
          </cell>
          <cell r="H32">
            <v>0</v>
          </cell>
          <cell r="I32">
            <v>65</v>
          </cell>
          <cell r="J32">
            <v>32</v>
          </cell>
          <cell r="K32">
            <v>33</v>
          </cell>
          <cell r="L32">
            <v>0</v>
          </cell>
          <cell r="M32">
            <v>65</v>
          </cell>
          <cell r="N32">
            <v>5</v>
          </cell>
          <cell r="O32">
            <v>21465.75</v>
          </cell>
          <cell r="P32">
            <v>63.2</v>
          </cell>
        </row>
        <row r="33">
          <cell r="A33">
            <v>65</v>
          </cell>
          <cell r="C33" t="str">
            <v>ACUTE MYOCARDIAL INFARCTION                                                       </v>
          </cell>
          <cell r="D33">
            <v>0</v>
          </cell>
          <cell r="E33">
            <v>2</v>
          </cell>
          <cell r="F33">
            <v>19</v>
          </cell>
          <cell r="G33">
            <v>44</v>
          </cell>
          <cell r="H33">
            <v>0</v>
          </cell>
          <cell r="I33">
            <v>65</v>
          </cell>
          <cell r="J33">
            <v>26</v>
          </cell>
          <cell r="K33">
            <v>39</v>
          </cell>
          <cell r="L33">
            <v>0</v>
          </cell>
          <cell r="M33">
            <v>65</v>
          </cell>
          <cell r="N33">
            <v>5.7</v>
          </cell>
          <cell r="O33">
            <v>37315.31</v>
          </cell>
          <cell r="P33">
            <v>70.4</v>
          </cell>
        </row>
        <row r="34">
          <cell r="A34">
            <v>63</v>
          </cell>
          <cell r="C34" t="str">
            <v>MAJOR SMALL &amp; LARGE BOWEL PROCEDURES                                              </v>
          </cell>
          <cell r="D34">
            <v>0</v>
          </cell>
          <cell r="E34">
            <v>6</v>
          </cell>
          <cell r="F34">
            <v>18</v>
          </cell>
          <cell r="G34">
            <v>39</v>
          </cell>
          <cell r="H34">
            <v>0</v>
          </cell>
          <cell r="I34">
            <v>63</v>
          </cell>
          <cell r="J34">
            <v>29</v>
          </cell>
          <cell r="K34">
            <v>34</v>
          </cell>
          <cell r="L34">
            <v>0</v>
          </cell>
          <cell r="M34">
            <v>63</v>
          </cell>
          <cell r="N34">
            <v>10.3</v>
          </cell>
          <cell r="O34">
            <v>66647.17</v>
          </cell>
          <cell r="P34">
            <v>66.9</v>
          </cell>
        </row>
        <row r="35">
          <cell r="A35">
            <v>60</v>
          </cell>
          <cell r="C35" t="str">
            <v>OTHER VASCULAR PROCEDURES                                                         </v>
          </cell>
          <cell r="D35">
            <v>0</v>
          </cell>
          <cell r="E35">
            <v>0</v>
          </cell>
          <cell r="F35">
            <v>19</v>
          </cell>
          <cell r="G35">
            <v>41</v>
          </cell>
          <cell r="H35">
            <v>0</v>
          </cell>
          <cell r="I35">
            <v>60</v>
          </cell>
          <cell r="J35">
            <v>35</v>
          </cell>
          <cell r="K35">
            <v>25</v>
          </cell>
          <cell r="L35">
            <v>0</v>
          </cell>
          <cell r="M35">
            <v>60</v>
          </cell>
          <cell r="N35">
            <v>3.7</v>
          </cell>
          <cell r="O35">
            <v>61314.81</v>
          </cell>
          <cell r="P35">
            <v>69.5</v>
          </cell>
        </row>
        <row r="36">
          <cell r="A36">
            <v>59.001</v>
          </cell>
          <cell r="C36" t="str">
            <v>KNEE JOINT REPLACEMENT                                                            </v>
          </cell>
          <cell r="D36">
            <v>0</v>
          </cell>
          <cell r="E36">
            <v>1</v>
          </cell>
          <cell r="F36">
            <v>28</v>
          </cell>
          <cell r="G36">
            <v>30</v>
          </cell>
          <cell r="H36">
            <v>0</v>
          </cell>
          <cell r="I36">
            <v>59</v>
          </cell>
          <cell r="J36">
            <v>14</v>
          </cell>
          <cell r="K36">
            <v>45</v>
          </cell>
          <cell r="L36">
            <v>0</v>
          </cell>
          <cell r="M36">
            <v>59</v>
          </cell>
          <cell r="N36">
            <v>3.4</v>
          </cell>
          <cell r="O36">
            <v>56680.4</v>
          </cell>
          <cell r="P36">
            <v>63.7</v>
          </cell>
        </row>
        <row r="37">
          <cell r="A37">
            <v>59</v>
          </cell>
          <cell r="C37" t="str">
            <v>LAPAROSCOPIC CHOLECYSTECTOMY                                                      </v>
          </cell>
          <cell r="D37">
            <v>2</v>
          </cell>
          <cell r="E37">
            <v>34</v>
          </cell>
          <cell r="F37">
            <v>11</v>
          </cell>
          <cell r="G37">
            <v>12</v>
          </cell>
          <cell r="H37">
            <v>0</v>
          </cell>
          <cell r="I37">
            <v>59</v>
          </cell>
          <cell r="J37">
            <v>20</v>
          </cell>
          <cell r="K37">
            <v>39</v>
          </cell>
          <cell r="L37">
            <v>0</v>
          </cell>
          <cell r="M37">
            <v>59</v>
          </cell>
          <cell r="N37">
            <v>4.4</v>
          </cell>
          <cell r="O37">
            <v>27949.78</v>
          </cell>
          <cell r="P37">
            <v>44.4</v>
          </cell>
        </row>
        <row r="38">
          <cell r="A38">
            <v>58</v>
          </cell>
          <cell r="C38" t="str">
            <v>NON-BACTERIAL GASTROENTERITIS, NAUSEA &amp; VOMITING                                  </v>
          </cell>
          <cell r="D38">
            <v>0</v>
          </cell>
          <cell r="E38">
            <v>20</v>
          </cell>
          <cell r="F38">
            <v>20</v>
          </cell>
          <cell r="G38">
            <v>18</v>
          </cell>
          <cell r="H38">
            <v>0</v>
          </cell>
          <cell r="I38">
            <v>58</v>
          </cell>
          <cell r="J38">
            <v>14</v>
          </cell>
          <cell r="K38">
            <v>44</v>
          </cell>
          <cell r="L38">
            <v>0</v>
          </cell>
          <cell r="M38">
            <v>58</v>
          </cell>
          <cell r="N38">
            <v>2.5</v>
          </cell>
          <cell r="O38">
            <v>12717.1</v>
          </cell>
          <cell r="P38">
            <v>53.5</v>
          </cell>
        </row>
        <row r="39">
          <cell r="A39">
            <v>57</v>
          </cell>
          <cell r="C39" t="str">
            <v>SEIZURE                                                                           </v>
          </cell>
          <cell r="D39">
            <v>0</v>
          </cell>
          <cell r="E39">
            <v>20</v>
          </cell>
          <cell r="F39">
            <v>21</v>
          </cell>
          <cell r="G39">
            <v>16</v>
          </cell>
          <cell r="H39">
            <v>0</v>
          </cell>
          <cell r="I39">
            <v>57</v>
          </cell>
          <cell r="J39">
            <v>26</v>
          </cell>
          <cell r="K39">
            <v>31</v>
          </cell>
          <cell r="L39">
            <v>0</v>
          </cell>
          <cell r="M39">
            <v>57</v>
          </cell>
          <cell r="N39">
            <v>3.8</v>
          </cell>
          <cell r="O39">
            <v>18283.7</v>
          </cell>
          <cell r="P39">
            <v>52.7</v>
          </cell>
        </row>
        <row r="40">
          <cell r="A40">
            <v>54</v>
          </cell>
          <cell r="C40" t="str">
            <v>INTESTINAL OBSTRUCTION                                                            </v>
          </cell>
          <cell r="D40">
            <v>0</v>
          </cell>
          <cell r="E40">
            <v>11</v>
          </cell>
          <cell r="F40">
            <v>12</v>
          </cell>
          <cell r="G40">
            <v>31</v>
          </cell>
          <cell r="H40">
            <v>0</v>
          </cell>
          <cell r="I40">
            <v>54</v>
          </cell>
          <cell r="J40">
            <v>18</v>
          </cell>
          <cell r="K40">
            <v>36</v>
          </cell>
          <cell r="L40">
            <v>0</v>
          </cell>
          <cell r="M40">
            <v>54</v>
          </cell>
          <cell r="N40">
            <v>4.8</v>
          </cell>
          <cell r="O40">
            <v>20675.56</v>
          </cell>
          <cell r="P40">
            <v>63.7</v>
          </cell>
        </row>
        <row r="41">
          <cell r="A41">
            <v>53</v>
          </cell>
          <cell r="C41" t="str">
            <v>OTHER ANTEPARTUM DIAGNOSES                                                        </v>
          </cell>
          <cell r="D41">
            <v>1</v>
          </cell>
          <cell r="E41">
            <v>52</v>
          </cell>
          <cell r="F41">
            <v>0</v>
          </cell>
          <cell r="G41">
            <v>0</v>
          </cell>
          <cell r="H41">
            <v>0</v>
          </cell>
          <cell r="I41">
            <v>53</v>
          </cell>
          <cell r="J41">
            <v>0</v>
          </cell>
          <cell r="K41">
            <v>53</v>
          </cell>
          <cell r="L41">
            <v>0</v>
          </cell>
          <cell r="M41">
            <v>53</v>
          </cell>
          <cell r="N41">
            <v>3</v>
          </cell>
          <cell r="O41">
            <v>9849.01</v>
          </cell>
          <cell r="P41">
            <v>26.6</v>
          </cell>
        </row>
        <row r="42">
          <cell r="A42">
            <v>52</v>
          </cell>
          <cell r="C42" t="str">
            <v>ASTHMA                                                                            </v>
          </cell>
          <cell r="D42">
            <v>1</v>
          </cell>
          <cell r="E42">
            <v>30</v>
          </cell>
          <cell r="F42">
            <v>15</v>
          </cell>
          <cell r="G42">
            <v>6</v>
          </cell>
          <cell r="H42">
            <v>0</v>
          </cell>
          <cell r="I42">
            <v>52</v>
          </cell>
          <cell r="J42">
            <v>14</v>
          </cell>
          <cell r="K42">
            <v>38</v>
          </cell>
          <cell r="L42">
            <v>0</v>
          </cell>
          <cell r="M42">
            <v>52</v>
          </cell>
          <cell r="N42">
            <v>2.5</v>
          </cell>
          <cell r="O42">
            <v>11693.45</v>
          </cell>
          <cell r="P42">
            <v>45.7</v>
          </cell>
        </row>
        <row r="43">
          <cell r="A43">
            <v>51</v>
          </cell>
          <cell r="C43" t="str">
            <v>CARDIAC CATHETERIZATION W CIRC DISORD EXC ISCHEMIC HEART DISEASE                  </v>
          </cell>
          <cell r="D43">
            <v>0</v>
          </cell>
          <cell r="E43">
            <v>6</v>
          </cell>
          <cell r="F43">
            <v>24</v>
          </cell>
          <cell r="G43">
            <v>21</v>
          </cell>
          <cell r="H43">
            <v>0</v>
          </cell>
          <cell r="I43">
            <v>51</v>
          </cell>
          <cell r="J43">
            <v>29</v>
          </cell>
          <cell r="K43">
            <v>22</v>
          </cell>
          <cell r="L43">
            <v>0</v>
          </cell>
          <cell r="M43">
            <v>51</v>
          </cell>
          <cell r="N43">
            <v>5</v>
          </cell>
          <cell r="O43">
            <v>41772.98</v>
          </cell>
          <cell r="P43">
            <v>62.2</v>
          </cell>
        </row>
        <row r="44">
          <cell r="A44">
            <v>50</v>
          </cell>
          <cell r="C44" t="str">
            <v>PULMONARY EDEMA &amp; RESPIRATORY FAILURE                                             </v>
          </cell>
          <cell r="D44">
            <v>0</v>
          </cell>
          <cell r="E44">
            <v>6</v>
          </cell>
          <cell r="F44">
            <v>12</v>
          </cell>
          <cell r="G44">
            <v>32</v>
          </cell>
          <cell r="H44">
            <v>0</v>
          </cell>
          <cell r="I44">
            <v>50</v>
          </cell>
          <cell r="J44">
            <v>21</v>
          </cell>
          <cell r="K44">
            <v>29</v>
          </cell>
          <cell r="L44">
            <v>0</v>
          </cell>
          <cell r="M44">
            <v>50</v>
          </cell>
          <cell r="N44">
            <v>6.1</v>
          </cell>
          <cell r="O44">
            <v>33428.16</v>
          </cell>
          <cell r="P44">
            <v>66.5</v>
          </cell>
        </row>
        <row r="45">
          <cell r="A45">
            <v>49</v>
          </cell>
          <cell r="C45" t="str">
            <v>OTHER ANEMIA &amp; DISORDERS OF BLOOD &amp; BLOOD-FORMING ORGANS                          </v>
          </cell>
          <cell r="D45">
            <v>0</v>
          </cell>
          <cell r="E45">
            <v>9</v>
          </cell>
          <cell r="F45">
            <v>13</v>
          </cell>
          <cell r="G45">
            <v>27</v>
          </cell>
          <cell r="H45">
            <v>0</v>
          </cell>
          <cell r="I45">
            <v>49</v>
          </cell>
          <cell r="J45">
            <v>11</v>
          </cell>
          <cell r="K45">
            <v>38</v>
          </cell>
          <cell r="L45">
            <v>0</v>
          </cell>
          <cell r="M45">
            <v>49</v>
          </cell>
          <cell r="N45">
            <v>3.9</v>
          </cell>
          <cell r="O45">
            <v>17896.9</v>
          </cell>
          <cell r="P45">
            <v>66.6</v>
          </cell>
        </row>
        <row r="46">
          <cell r="A46">
            <v>48.001</v>
          </cell>
          <cell r="C46" t="str">
            <v>OTHER BACK &amp; NECK DISORDERS, FRACTURES &amp; INJURIES                                 </v>
          </cell>
          <cell r="D46">
            <v>0</v>
          </cell>
          <cell r="E46">
            <v>6</v>
          </cell>
          <cell r="F46">
            <v>14</v>
          </cell>
          <cell r="G46">
            <v>28</v>
          </cell>
          <cell r="H46">
            <v>0</v>
          </cell>
          <cell r="I46">
            <v>48</v>
          </cell>
          <cell r="J46">
            <v>17</v>
          </cell>
          <cell r="K46">
            <v>31</v>
          </cell>
          <cell r="L46">
            <v>0</v>
          </cell>
          <cell r="M46">
            <v>48</v>
          </cell>
          <cell r="N46">
            <v>3.3</v>
          </cell>
          <cell r="O46">
            <v>13770.27</v>
          </cell>
          <cell r="P46">
            <v>67.2</v>
          </cell>
        </row>
        <row r="47">
          <cell r="A47">
            <v>48.001</v>
          </cell>
          <cell r="C47" t="str">
            <v>PEPTIC ULCER &amp; GASTRITIS                                                          </v>
          </cell>
          <cell r="D47">
            <v>0</v>
          </cell>
          <cell r="E47">
            <v>14</v>
          </cell>
          <cell r="F47">
            <v>20</v>
          </cell>
          <cell r="G47">
            <v>14</v>
          </cell>
          <cell r="H47">
            <v>0</v>
          </cell>
          <cell r="I47">
            <v>48</v>
          </cell>
          <cell r="J47">
            <v>19</v>
          </cell>
          <cell r="K47">
            <v>29</v>
          </cell>
          <cell r="L47">
            <v>0</v>
          </cell>
          <cell r="M47">
            <v>48</v>
          </cell>
          <cell r="N47">
            <v>4</v>
          </cell>
          <cell r="O47">
            <v>20871.15</v>
          </cell>
          <cell r="P47">
            <v>54.5</v>
          </cell>
        </row>
        <row r="48">
          <cell r="A48">
            <v>48</v>
          </cell>
          <cell r="C48" t="str">
            <v>TRANSIENT ISCHEMIA                                                                </v>
          </cell>
          <cell r="D48">
            <v>0</v>
          </cell>
          <cell r="E48">
            <v>4</v>
          </cell>
          <cell r="F48">
            <v>14</v>
          </cell>
          <cell r="G48">
            <v>30</v>
          </cell>
          <cell r="H48">
            <v>0</v>
          </cell>
          <cell r="I48">
            <v>48</v>
          </cell>
          <cell r="J48">
            <v>19</v>
          </cell>
          <cell r="K48">
            <v>29</v>
          </cell>
          <cell r="L48">
            <v>0</v>
          </cell>
          <cell r="M48">
            <v>48</v>
          </cell>
          <cell r="N48">
            <v>2.4</v>
          </cell>
          <cell r="O48">
            <v>13906.37</v>
          </cell>
          <cell r="P48">
            <v>69.4</v>
          </cell>
        </row>
        <row r="49">
          <cell r="A49">
            <v>46</v>
          </cell>
          <cell r="C49" t="str">
            <v>DISORDERS OF PANCREAS EXCEPT MALIGNANCY                                           </v>
          </cell>
          <cell r="D49">
            <v>0</v>
          </cell>
          <cell r="E49">
            <v>13</v>
          </cell>
          <cell r="F49">
            <v>24</v>
          </cell>
          <cell r="G49">
            <v>9</v>
          </cell>
          <cell r="H49">
            <v>0</v>
          </cell>
          <cell r="I49">
            <v>46</v>
          </cell>
          <cell r="J49">
            <v>28</v>
          </cell>
          <cell r="K49">
            <v>18</v>
          </cell>
          <cell r="L49">
            <v>0</v>
          </cell>
          <cell r="M49">
            <v>46</v>
          </cell>
          <cell r="N49">
            <v>3.8</v>
          </cell>
          <cell r="O49">
            <v>19287.77</v>
          </cell>
          <cell r="P49">
            <v>52.6</v>
          </cell>
        </row>
        <row r="50">
          <cell r="A50">
            <v>44</v>
          </cell>
          <cell r="C50" t="str">
            <v>OTHER DISORDERS OF NERVOUS SYSTEM                                                 </v>
          </cell>
          <cell r="D50">
            <v>0</v>
          </cell>
          <cell r="E50">
            <v>2</v>
          </cell>
          <cell r="F50">
            <v>9</v>
          </cell>
          <cell r="G50">
            <v>33</v>
          </cell>
          <cell r="H50">
            <v>0</v>
          </cell>
          <cell r="I50">
            <v>44</v>
          </cell>
          <cell r="J50">
            <v>22</v>
          </cell>
          <cell r="K50">
            <v>22</v>
          </cell>
          <cell r="L50">
            <v>0</v>
          </cell>
          <cell r="M50">
            <v>44</v>
          </cell>
          <cell r="N50">
            <v>4.4</v>
          </cell>
          <cell r="O50">
            <v>17384.17</v>
          </cell>
          <cell r="P50">
            <v>74</v>
          </cell>
        </row>
        <row r="51">
          <cell r="A51">
            <v>43.001</v>
          </cell>
          <cell r="C51" t="str">
            <v>APPENDECTOMY                                                                      </v>
          </cell>
          <cell r="D51">
            <v>3</v>
          </cell>
          <cell r="E51">
            <v>28</v>
          </cell>
          <cell r="F51">
            <v>7</v>
          </cell>
          <cell r="G51">
            <v>5</v>
          </cell>
          <cell r="H51">
            <v>0</v>
          </cell>
          <cell r="I51">
            <v>43</v>
          </cell>
          <cell r="J51">
            <v>16</v>
          </cell>
          <cell r="K51">
            <v>27</v>
          </cell>
          <cell r="L51">
            <v>0</v>
          </cell>
          <cell r="M51">
            <v>43</v>
          </cell>
          <cell r="N51">
            <v>1.9</v>
          </cell>
          <cell r="O51">
            <v>22946.17</v>
          </cell>
          <cell r="P51">
            <v>37</v>
          </cell>
        </row>
        <row r="52">
          <cell r="A52">
            <v>43</v>
          </cell>
          <cell r="C52" t="str">
            <v>MAJOR RESPIRATORY INFECTIONS &amp; INFLAMMATIONS                                      </v>
          </cell>
          <cell r="D52">
            <v>0</v>
          </cell>
          <cell r="E52">
            <v>4</v>
          </cell>
          <cell r="F52">
            <v>7</v>
          </cell>
          <cell r="G52">
            <v>32</v>
          </cell>
          <cell r="H52">
            <v>0</v>
          </cell>
          <cell r="I52">
            <v>43</v>
          </cell>
          <cell r="J52">
            <v>26</v>
          </cell>
          <cell r="K52">
            <v>17</v>
          </cell>
          <cell r="L52">
            <v>0</v>
          </cell>
          <cell r="M52">
            <v>43</v>
          </cell>
          <cell r="N52">
            <v>11.4</v>
          </cell>
          <cell r="O52">
            <v>47972.46</v>
          </cell>
          <cell r="P52">
            <v>70.9</v>
          </cell>
        </row>
        <row r="53">
          <cell r="A53">
            <v>41</v>
          </cell>
          <cell r="C53" t="str">
            <v>POISONING OF MEDICINAL AGENTS                                                     </v>
          </cell>
          <cell r="D53">
            <v>1</v>
          </cell>
          <cell r="E53">
            <v>16</v>
          </cell>
          <cell r="F53">
            <v>19</v>
          </cell>
          <cell r="G53">
            <v>5</v>
          </cell>
          <cell r="H53">
            <v>0</v>
          </cell>
          <cell r="I53">
            <v>41</v>
          </cell>
          <cell r="J53">
            <v>18</v>
          </cell>
          <cell r="K53">
            <v>23</v>
          </cell>
          <cell r="L53">
            <v>0</v>
          </cell>
          <cell r="M53">
            <v>41</v>
          </cell>
          <cell r="N53">
            <v>2.7</v>
          </cell>
          <cell r="O53">
            <v>12183.51</v>
          </cell>
          <cell r="P53">
            <v>48.5</v>
          </cell>
        </row>
        <row r="54">
          <cell r="A54">
            <v>40</v>
          </cell>
          <cell r="C54" t="str">
            <v>CORONARY BYPASS W CARDIAC CATH OR PERCUTANEOUS CARDIAC PROCEDURE                  </v>
          </cell>
          <cell r="D54">
            <v>0</v>
          </cell>
          <cell r="E54">
            <v>0</v>
          </cell>
          <cell r="F54">
            <v>13</v>
          </cell>
          <cell r="G54">
            <v>27</v>
          </cell>
          <cell r="H54">
            <v>0</v>
          </cell>
          <cell r="I54">
            <v>40</v>
          </cell>
          <cell r="J54">
            <v>29</v>
          </cell>
          <cell r="K54">
            <v>11</v>
          </cell>
          <cell r="L54">
            <v>0</v>
          </cell>
          <cell r="M54">
            <v>40</v>
          </cell>
          <cell r="N54">
            <v>10.2</v>
          </cell>
          <cell r="O54">
            <v>127428.22</v>
          </cell>
          <cell r="P54">
            <v>67.9</v>
          </cell>
        </row>
        <row r="55">
          <cell r="A55">
            <v>37</v>
          </cell>
          <cell r="C55" t="str">
            <v>ELECTROLYTE DISORDERS EXCEPT HYPOVOLEMIA RELATED                                  </v>
          </cell>
          <cell r="D55">
            <v>0</v>
          </cell>
          <cell r="E55">
            <v>3</v>
          </cell>
          <cell r="F55">
            <v>19</v>
          </cell>
          <cell r="G55">
            <v>15</v>
          </cell>
          <cell r="H55">
            <v>0</v>
          </cell>
          <cell r="I55">
            <v>37</v>
          </cell>
          <cell r="J55">
            <v>13</v>
          </cell>
          <cell r="K55">
            <v>24</v>
          </cell>
          <cell r="L55">
            <v>0</v>
          </cell>
          <cell r="M55">
            <v>37</v>
          </cell>
          <cell r="N55">
            <v>3</v>
          </cell>
          <cell r="O55">
            <v>13604.3</v>
          </cell>
          <cell r="P55">
            <v>63.9</v>
          </cell>
        </row>
        <row r="56">
          <cell r="A56">
            <v>36.001</v>
          </cell>
          <cell r="C56" t="str">
            <v>SIGNS, SYMPTOMS &amp; OTHER FACTORS INFLUENCING HEALTH STATUS                         </v>
          </cell>
          <cell r="D56">
            <v>0</v>
          </cell>
          <cell r="E56">
            <v>5</v>
          </cell>
          <cell r="F56">
            <v>10</v>
          </cell>
          <cell r="G56">
            <v>21</v>
          </cell>
          <cell r="H56">
            <v>0</v>
          </cell>
          <cell r="I56">
            <v>36</v>
          </cell>
          <cell r="J56">
            <v>15</v>
          </cell>
          <cell r="K56">
            <v>21</v>
          </cell>
          <cell r="L56">
            <v>0</v>
          </cell>
          <cell r="M56">
            <v>36</v>
          </cell>
          <cell r="N56">
            <v>3.1</v>
          </cell>
          <cell r="O56">
            <v>11042.6</v>
          </cell>
          <cell r="P56">
            <v>66.6</v>
          </cell>
        </row>
        <row r="57">
          <cell r="A57">
            <v>36</v>
          </cell>
          <cell r="C57" t="str">
            <v>NONTRAUMATIC STUPOR &amp; COMA                                                        </v>
          </cell>
          <cell r="D57">
            <v>0</v>
          </cell>
          <cell r="E57">
            <v>2</v>
          </cell>
          <cell r="F57">
            <v>8</v>
          </cell>
          <cell r="G57">
            <v>26</v>
          </cell>
          <cell r="H57">
            <v>0</v>
          </cell>
          <cell r="I57">
            <v>36</v>
          </cell>
          <cell r="J57">
            <v>19</v>
          </cell>
          <cell r="K57">
            <v>17</v>
          </cell>
          <cell r="L57">
            <v>0</v>
          </cell>
          <cell r="M57">
            <v>36</v>
          </cell>
          <cell r="N57">
            <v>7.7</v>
          </cell>
          <cell r="O57">
            <v>32770.14</v>
          </cell>
          <cell r="P57">
            <v>71.4</v>
          </cell>
        </row>
        <row r="58">
          <cell r="A58">
            <v>35</v>
          </cell>
          <cell r="C58" t="str">
            <v>FOOT &amp; TOE PROCEDURES                                                             </v>
          </cell>
          <cell r="D58">
            <v>0</v>
          </cell>
          <cell r="E58">
            <v>4</v>
          </cell>
          <cell r="F58">
            <v>17</v>
          </cell>
          <cell r="G58">
            <v>14</v>
          </cell>
          <cell r="H58">
            <v>0</v>
          </cell>
          <cell r="I58">
            <v>35</v>
          </cell>
          <cell r="J58">
            <v>20</v>
          </cell>
          <cell r="K58">
            <v>15</v>
          </cell>
          <cell r="L58">
            <v>0</v>
          </cell>
          <cell r="M58">
            <v>35</v>
          </cell>
          <cell r="N58">
            <v>7</v>
          </cell>
          <cell r="O58">
            <v>42848.99</v>
          </cell>
          <cell r="P58">
            <v>57.8</v>
          </cell>
        </row>
        <row r="59">
          <cell r="A59">
            <v>34</v>
          </cell>
          <cell r="C59" t="str">
            <v>PERIPHERAL, CRANIAL &amp; AUTONOMIC NERVE DISORDERS                                   </v>
          </cell>
          <cell r="D59">
            <v>0</v>
          </cell>
          <cell r="E59">
            <v>5</v>
          </cell>
          <cell r="F59">
            <v>22</v>
          </cell>
          <cell r="G59">
            <v>7</v>
          </cell>
          <cell r="H59">
            <v>0</v>
          </cell>
          <cell r="I59">
            <v>34</v>
          </cell>
          <cell r="J59">
            <v>16</v>
          </cell>
          <cell r="K59">
            <v>18</v>
          </cell>
          <cell r="L59">
            <v>0</v>
          </cell>
          <cell r="M59">
            <v>34</v>
          </cell>
          <cell r="N59">
            <v>4</v>
          </cell>
          <cell r="O59">
            <v>19609.14</v>
          </cell>
          <cell r="P59">
            <v>55.3</v>
          </cell>
        </row>
        <row r="60">
          <cell r="A60">
            <v>32.001</v>
          </cell>
          <cell r="C60" t="str">
            <v>ALCOHOL ABUSE &amp; DEPENDENCE                                                        </v>
          </cell>
          <cell r="D60">
            <v>0</v>
          </cell>
          <cell r="E60">
            <v>10</v>
          </cell>
          <cell r="F60">
            <v>15</v>
          </cell>
          <cell r="G60">
            <v>7</v>
          </cell>
          <cell r="H60">
            <v>0</v>
          </cell>
          <cell r="I60">
            <v>32</v>
          </cell>
          <cell r="J60">
            <v>24</v>
          </cell>
          <cell r="K60">
            <v>8</v>
          </cell>
          <cell r="L60">
            <v>0</v>
          </cell>
          <cell r="M60">
            <v>32</v>
          </cell>
          <cell r="N60">
            <v>4.2</v>
          </cell>
          <cell r="O60">
            <v>17945.46</v>
          </cell>
          <cell r="P60">
            <v>53.9</v>
          </cell>
        </row>
        <row r="61">
          <cell r="A61">
            <v>32.001</v>
          </cell>
          <cell r="C61" t="str">
            <v>RESPIRATORY SIGNS, SYMPTOMS &amp; MINOR DIAGNOSES                                     </v>
          </cell>
          <cell r="D61">
            <v>0</v>
          </cell>
          <cell r="E61">
            <v>1</v>
          </cell>
          <cell r="F61">
            <v>10</v>
          </cell>
          <cell r="G61">
            <v>21</v>
          </cell>
          <cell r="H61">
            <v>0</v>
          </cell>
          <cell r="I61">
            <v>32</v>
          </cell>
          <cell r="J61">
            <v>11</v>
          </cell>
          <cell r="K61">
            <v>21</v>
          </cell>
          <cell r="L61">
            <v>0</v>
          </cell>
          <cell r="M61">
            <v>32</v>
          </cell>
          <cell r="N61">
            <v>2.7</v>
          </cell>
          <cell r="O61">
            <v>13118.63</v>
          </cell>
          <cell r="P61">
            <v>70.2</v>
          </cell>
        </row>
        <row r="62">
          <cell r="A62">
            <v>32</v>
          </cell>
          <cell r="C62" t="str">
            <v>VERTIGO &amp; OTHER LABYRINTH DISORDERS                                               </v>
          </cell>
          <cell r="D62">
            <v>0</v>
          </cell>
          <cell r="E62">
            <v>2</v>
          </cell>
          <cell r="F62">
            <v>5</v>
          </cell>
          <cell r="G62">
            <v>25</v>
          </cell>
          <cell r="H62">
            <v>0</v>
          </cell>
          <cell r="I62">
            <v>32</v>
          </cell>
          <cell r="J62">
            <v>13</v>
          </cell>
          <cell r="K62">
            <v>19</v>
          </cell>
          <cell r="L62">
            <v>0</v>
          </cell>
          <cell r="M62">
            <v>32</v>
          </cell>
          <cell r="N62">
            <v>2.9</v>
          </cell>
          <cell r="O62">
            <v>13308.82</v>
          </cell>
          <cell r="P62">
            <v>72.7</v>
          </cell>
        </row>
        <row r="63">
          <cell r="A63">
            <v>30.001</v>
          </cell>
          <cell r="C63" t="str">
            <v>MAJOR GASTROINTESTINAL &amp; PERITONEAL INFECTIONS                                    </v>
          </cell>
          <cell r="D63">
            <v>0</v>
          </cell>
          <cell r="E63">
            <v>3</v>
          </cell>
          <cell r="F63">
            <v>13</v>
          </cell>
          <cell r="G63">
            <v>14</v>
          </cell>
          <cell r="H63">
            <v>0</v>
          </cell>
          <cell r="I63">
            <v>30</v>
          </cell>
          <cell r="J63">
            <v>15</v>
          </cell>
          <cell r="K63">
            <v>15</v>
          </cell>
          <cell r="L63">
            <v>0</v>
          </cell>
          <cell r="M63">
            <v>30</v>
          </cell>
          <cell r="N63">
            <v>6</v>
          </cell>
          <cell r="O63">
            <v>25602.55</v>
          </cell>
          <cell r="P63">
            <v>65.2</v>
          </cell>
        </row>
        <row r="64">
          <cell r="A64">
            <v>30</v>
          </cell>
          <cell r="C64" t="str">
            <v>HYPERTENSION                                                                      </v>
          </cell>
          <cell r="D64">
            <v>0</v>
          </cell>
          <cell r="E64">
            <v>6</v>
          </cell>
          <cell r="F64">
            <v>11</v>
          </cell>
          <cell r="G64">
            <v>13</v>
          </cell>
          <cell r="H64">
            <v>0</v>
          </cell>
          <cell r="I64">
            <v>30</v>
          </cell>
          <cell r="J64">
            <v>10</v>
          </cell>
          <cell r="K64">
            <v>20</v>
          </cell>
          <cell r="L64">
            <v>0</v>
          </cell>
          <cell r="M64">
            <v>30</v>
          </cell>
          <cell r="N64">
            <v>2.3</v>
          </cell>
          <cell r="O64">
            <v>13526.36</v>
          </cell>
          <cell r="P64">
            <v>58.5</v>
          </cell>
        </row>
        <row r="65">
          <cell r="A65">
            <v>29.001</v>
          </cell>
          <cell r="C65" t="str">
            <v>EXTENSIVE PROCEDURE UNRELATED TO PRINCIPAL DIAGNOSIS                              </v>
          </cell>
          <cell r="D65">
            <v>0</v>
          </cell>
          <cell r="E65">
            <v>10</v>
          </cell>
          <cell r="F65">
            <v>15</v>
          </cell>
          <cell r="G65">
            <v>4</v>
          </cell>
          <cell r="H65">
            <v>0</v>
          </cell>
          <cell r="I65">
            <v>29</v>
          </cell>
          <cell r="J65">
            <v>9</v>
          </cell>
          <cell r="K65">
            <v>20</v>
          </cell>
          <cell r="L65">
            <v>0</v>
          </cell>
          <cell r="M65">
            <v>29</v>
          </cell>
          <cell r="N65">
            <v>4.3</v>
          </cell>
          <cell r="O65">
            <v>47386.28</v>
          </cell>
          <cell r="P65">
            <v>50.3</v>
          </cell>
        </row>
        <row r="66">
          <cell r="A66">
            <v>29.001</v>
          </cell>
          <cell r="C66" t="str">
            <v>OTHER &amp; UNSPECIFIED GASTROINTESTINAL HEMORRHAGE                                   </v>
          </cell>
          <cell r="D66">
            <v>0</v>
          </cell>
          <cell r="E66">
            <v>1</v>
          </cell>
          <cell r="F66">
            <v>7</v>
          </cell>
          <cell r="G66">
            <v>21</v>
          </cell>
          <cell r="H66">
            <v>0</v>
          </cell>
          <cell r="I66">
            <v>29</v>
          </cell>
          <cell r="J66">
            <v>16</v>
          </cell>
          <cell r="K66">
            <v>13</v>
          </cell>
          <cell r="L66">
            <v>0</v>
          </cell>
          <cell r="M66">
            <v>29</v>
          </cell>
          <cell r="N66">
            <v>4.6</v>
          </cell>
          <cell r="O66">
            <v>21226.54</v>
          </cell>
          <cell r="P66">
            <v>72.1</v>
          </cell>
        </row>
        <row r="67">
          <cell r="A67">
            <v>29</v>
          </cell>
          <cell r="C67" t="str">
            <v>OTHER ESOPHAGEAL DISORDERS                                                        </v>
          </cell>
          <cell r="D67">
            <v>0</v>
          </cell>
          <cell r="E67">
            <v>4</v>
          </cell>
          <cell r="F67">
            <v>15</v>
          </cell>
          <cell r="G67">
            <v>10</v>
          </cell>
          <cell r="H67">
            <v>0</v>
          </cell>
          <cell r="I67">
            <v>29</v>
          </cell>
          <cell r="J67">
            <v>9</v>
          </cell>
          <cell r="K67">
            <v>20</v>
          </cell>
          <cell r="L67">
            <v>0</v>
          </cell>
          <cell r="M67">
            <v>29</v>
          </cell>
          <cell r="N67">
            <v>2.7</v>
          </cell>
          <cell r="O67">
            <v>14839.57</v>
          </cell>
          <cell r="P67">
            <v>59.2</v>
          </cell>
        </row>
        <row r="68">
          <cell r="A68">
            <v>28.001</v>
          </cell>
          <cell r="C68" t="str">
            <v>URINARY STONES &amp; ACQUIRED UPPER URINARY TRACT OBSTRUCTION                         </v>
          </cell>
          <cell r="D68">
            <v>0</v>
          </cell>
          <cell r="E68">
            <v>11</v>
          </cell>
          <cell r="F68">
            <v>12</v>
          </cell>
          <cell r="G68">
            <v>5</v>
          </cell>
          <cell r="H68">
            <v>0</v>
          </cell>
          <cell r="I68">
            <v>28</v>
          </cell>
          <cell r="J68">
            <v>9</v>
          </cell>
          <cell r="K68">
            <v>19</v>
          </cell>
          <cell r="L68">
            <v>0</v>
          </cell>
          <cell r="M68">
            <v>28</v>
          </cell>
          <cell r="N68">
            <v>2.8</v>
          </cell>
          <cell r="O68">
            <v>17042.66</v>
          </cell>
          <cell r="P68">
            <v>46.3</v>
          </cell>
        </row>
        <row r="69">
          <cell r="A69">
            <v>28</v>
          </cell>
          <cell r="C69" t="str">
            <v>ABDOMINAL PAIN                                                                    </v>
          </cell>
          <cell r="D69">
            <v>0</v>
          </cell>
          <cell r="E69">
            <v>15</v>
          </cell>
          <cell r="F69">
            <v>8</v>
          </cell>
          <cell r="G69">
            <v>5</v>
          </cell>
          <cell r="H69">
            <v>0</v>
          </cell>
          <cell r="I69">
            <v>28</v>
          </cell>
          <cell r="J69">
            <v>7</v>
          </cell>
          <cell r="K69">
            <v>21</v>
          </cell>
          <cell r="L69">
            <v>0</v>
          </cell>
          <cell r="M69">
            <v>28</v>
          </cell>
          <cell r="N69">
            <v>3.5</v>
          </cell>
          <cell r="O69">
            <v>17908.72</v>
          </cell>
          <cell r="P69">
            <v>47.5</v>
          </cell>
        </row>
        <row r="70">
          <cell r="A70">
            <v>27</v>
          </cell>
          <cell r="C70" t="str">
            <v>OTHER KIDNEY &amp; URINARY TRACT DIAGNOSES, SIGNS &amp; SYMPTOMS                          </v>
          </cell>
          <cell r="D70">
            <v>0</v>
          </cell>
          <cell r="E70">
            <v>5</v>
          </cell>
          <cell r="F70">
            <v>9</v>
          </cell>
          <cell r="G70">
            <v>13</v>
          </cell>
          <cell r="H70">
            <v>0</v>
          </cell>
          <cell r="I70">
            <v>27</v>
          </cell>
          <cell r="J70">
            <v>14</v>
          </cell>
          <cell r="K70">
            <v>13</v>
          </cell>
          <cell r="L70">
            <v>0</v>
          </cell>
          <cell r="M70">
            <v>27</v>
          </cell>
          <cell r="N70">
            <v>3.7</v>
          </cell>
          <cell r="O70">
            <v>20023.67</v>
          </cell>
          <cell r="P70">
            <v>61.3</v>
          </cell>
        </row>
        <row r="71">
          <cell r="A71">
            <v>25.001</v>
          </cell>
          <cell r="C71" t="str">
            <v>POST-OPERATIVE, POST-TRAUMATIC, OTHER DEVICE INFECTIONS                           </v>
          </cell>
          <cell r="D71">
            <v>1</v>
          </cell>
          <cell r="E71">
            <v>10</v>
          </cell>
          <cell r="F71">
            <v>9</v>
          </cell>
          <cell r="G71">
            <v>5</v>
          </cell>
          <cell r="H71">
            <v>0</v>
          </cell>
          <cell r="I71">
            <v>25</v>
          </cell>
          <cell r="J71">
            <v>7</v>
          </cell>
          <cell r="K71">
            <v>18</v>
          </cell>
          <cell r="L71">
            <v>0</v>
          </cell>
          <cell r="M71">
            <v>25</v>
          </cell>
          <cell r="N71">
            <v>6.2</v>
          </cell>
          <cell r="O71">
            <v>34450.96</v>
          </cell>
          <cell r="P71">
            <v>49.8</v>
          </cell>
        </row>
        <row r="72">
          <cell r="A72">
            <v>25.001</v>
          </cell>
          <cell r="C72" t="str">
            <v>MAJOR MALE PELVIC PROCEDURES                                                      </v>
          </cell>
          <cell r="D72">
            <v>0</v>
          </cell>
          <cell r="E72">
            <v>0</v>
          </cell>
          <cell r="F72">
            <v>18</v>
          </cell>
          <cell r="G72">
            <v>7</v>
          </cell>
          <cell r="H72">
            <v>0</v>
          </cell>
          <cell r="I72">
            <v>25</v>
          </cell>
          <cell r="J72">
            <v>25</v>
          </cell>
          <cell r="K72">
            <v>0</v>
          </cell>
          <cell r="L72">
            <v>0</v>
          </cell>
          <cell r="M72">
            <v>25</v>
          </cell>
          <cell r="N72">
            <v>1.4</v>
          </cell>
          <cell r="O72">
            <v>27778.88</v>
          </cell>
          <cell r="P72">
            <v>59.8</v>
          </cell>
        </row>
        <row r="73">
          <cell r="A73">
            <v>25.001</v>
          </cell>
          <cell r="C73" t="str">
            <v>OTHER MUSCULOSKELETAL SYSTEM &amp; CONNECTIVE TISSUE DIAGNOSES                        </v>
          </cell>
          <cell r="D73">
            <v>0</v>
          </cell>
          <cell r="E73">
            <v>4</v>
          </cell>
          <cell r="F73">
            <v>5</v>
          </cell>
          <cell r="G73">
            <v>16</v>
          </cell>
          <cell r="H73">
            <v>0</v>
          </cell>
          <cell r="I73">
            <v>25</v>
          </cell>
          <cell r="J73">
            <v>9</v>
          </cell>
          <cell r="K73">
            <v>16</v>
          </cell>
          <cell r="L73">
            <v>0</v>
          </cell>
          <cell r="M73">
            <v>25</v>
          </cell>
          <cell r="N73">
            <v>5.2</v>
          </cell>
          <cell r="O73">
            <v>17521.02</v>
          </cell>
          <cell r="P73">
            <v>66.3</v>
          </cell>
        </row>
        <row r="74">
          <cell r="A74">
            <v>25</v>
          </cell>
          <cell r="C74" t="str">
            <v>OTHER MUSCULOSKELETAL SYSTEM &amp; CONNECTIVE TISSUE PROCEDURES                       </v>
          </cell>
          <cell r="D74">
            <v>0</v>
          </cell>
          <cell r="E74">
            <v>5</v>
          </cell>
          <cell r="F74">
            <v>10</v>
          </cell>
          <cell r="G74">
            <v>10</v>
          </cell>
          <cell r="H74">
            <v>0</v>
          </cell>
          <cell r="I74">
            <v>25</v>
          </cell>
          <cell r="J74">
            <v>11</v>
          </cell>
          <cell r="K74">
            <v>14</v>
          </cell>
          <cell r="L74">
            <v>0</v>
          </cell>
          <cell r="M74">
            <v>25</v>
          </cell>
          <cell r="N74">
            <v>2.8</v>
          </cell>
          <cell r="O74">
            <v>45517.05</v>
          </cell>
          <cell r="P74">
            <v>59.8</v>
          </cell>
        </row>
        <row r="75">
          <cell r="A75">
            <v>24.001</v>
          </cell>
          <cell r="C75" t="str">
            <v>FRACTURES &amp; DISLOCATIONS EXCEPT FEMUR, PELVIS &amp; BACK                              </v>
          </cell>
          <cell r="D75">
            <v>0</v>
          </cell>
          <cell r="E75">
            <v>1</v>
          </cell>
          <cell r="F75">
            <v>5</v>
          </cell>
          <cell r="G75">
            <v>18</v>
          </cell>
          <cell r="H75">
            <v>0</v>
          </cell>
          <cell r="I75">
            <v>24</v>
          </cell>
          <cell r="J75">
            <v>7</v>
          </cell>
          <cell r="K75">
            <v>17</v>
          </cell>
          <cell r="L75">
            <v>0</v>
          </cell>
          <cell r="M75">
            <v>24</v>
          </cell>
          <cell r="N75">
            <v>3.3</v>
          </cell>
          <cell r="O75">
            <v>12684.99</v>
          </cell>
          <cell r="P75">
            <v>77.7</v>
          </cell>
        </row>
        <row r="76">
          <cell r="A76">
            <v>24.001</v>
          </cell>
          <cell r="C76" t="str">
            <v>CARDIAC VALVE PROCEDURES W CARDIAC CATHETERIZATION                                </v>
          </cell>
          <cell r="D76">
            <v>0</v>
          </cell>
          <cell r="E76">
            <v>2</v>
          </cell>
          <cell r="F76">
            <v>6</v>
          </cell>
          <cell r="G76">
            <v>16</v>
          </cell>
          <cell r="H76">
            <v>0</v>
          </cell>
          <cell r="I76">
            <v>24</v>
          </cell>
          <cell r="J76">
            <v>12</v>
          </cell>
          <cell r="K76">
            <v>12</v>
          </cell>
          <cell r="L76">
            <v>0</v>
          </cell>
          <cell r="M76">
            <v>24</v>
          </cell>
          <cell r="N76">
            <v>11.2</v>
          </cell>
          <cell r="O76">
            <v>154928.19</v>
          </cell>
          <cell r="P76">
            <v>68.6</v>
          </cell>
        </row>
        <row r="77">
          <cell r="A77">
            <v>24.001</v>
          </cell>
          <cell r="C77" t="str">
            <v>CARDIAC DEFIBRILLATOR &amp; HEART ASSIST IMPLANT                                      </v>
          </cell>
          <cell r="D77">
            <v>0</v>
          </cell>
          <cell r="E77">
            <v>1</v>
          </cell>
          <cell r="F77">
            <v>9</v>
          </cell>
          <cell r="G77">
            <v>14</v>
          </cell>
          <cell r="H77">
            <v>0</v>
          </cell>
          <cell r="I77">
            <v>24</v>
          </cell>
          <cell r="J77">
            <v>17</v>
          </cell>
          <cell r="K77">
            <v>7</v>
          </cell>
          <cell r="L77">
            <v>0</v>
          </cell>
          <cell r="M77">
            <v>24</v>
          </cell>
          <cell r="N77">
            <v>6.4</v>
          </cell>
          <cell r="O77">
            <v>139578</v>
          </cell>
          <cell r="P77">
            <v>65</v>
          </cell>
        </row>
        <row r="78">
          <cell r="A78">
            <v>24</v>
          </cell>
          <cell r="C78" t="str">
            <v>PULMONARY EMBOLISM                                                                </v>
          </cell>
          <cell r="D78">
            <v>0</v>
          </cell>
          <cell r="E78">
            <v>5</v>
          </cell>
          <cell r="F78">
            <v>8</v>
          </cell>
          <cell r="G78">
            <v>11</v>
          </cell>
          <cell r="H78">
            <v>0</v>
          </cell>
          <cell r="I78">
            <v>24</v>
          </cell>
          <cell r="J78">
            <v>12</v>
          </cell>
          <cell r="K78">
            <v>12</v>
          </cell>
          <cell r="L78">
            <v>0</v>
          </cell>
          <cell r="M78">
            <v>24</v>
          </cell>
          <cell r="N78">
            <v>6.3</v>
          </cell>
          <cell r="O78">
            <v>29768.24</v>
          </cell>
          <cell r="P78">
            <v>59.8</v>
          </cell>
        </row>
        <row r="79">
          <cell r="A79">
            <v>22.001</v>
          </cell>
          <cell r="C79" t="str">
            <v>KNEE &amp; LOWER LEG PROCEDURES EXCEPT FOOT                                           </v>
          </cell>
          <cell r="D79">
            <v>0</v>
          </cell>
          <cell r="E79">
            <v>4</v>
          </cell>
          <cell r="F79">
            <v>12</v>
          </cell>
          <cell r="G79">
            <v>6</v>
          </cell>
          <cell r="H79">
            <v>0</v>
          </cell>
          <cell r="I79">
            <v>22</v>
          </cell>
          <cell r="J79">
            <v>10</v>
          </cell>
          <cell r="K79">
            <v>12</v>
          </cell>
          <cell r="L79">
            <v>0</v>
          </cell>
          <cell r="M79">
            <v>22</v>
          </cell>
          <cell r="N79">
            <v>4</v>
          </cell>
          <cell r="O79">
            <v>37125.08</v>
          </cell>
          <cell r="P79">
            <v>54.3</v>
          </cell>
        </row>
        <row r="80">
          <cell r="A80">
            <v>22</v>
          </cell>
          <cell r="C80" t="str">
            <v>DISORDERS OF GALLBLADDER &amp; BILIARY TRACT                                          </v>
          </cell>
          <cell r="D80">
            <v>0</v>
          </cell>
          <cell r="E80">
            <v>12</v>
          </cell>
          <cell r="F80">
            <v>4</v>
          </cell>
          <cell r="G80">
            <v>6</v>
          </cell>
          <cell r="H80">
            <v>0</v>
          </cell>
          <cell r="I80">
            <v>22</v>
          </cell>
          <cell r="J80">
            <v>10</v>
          </cell>
          <cell r="K80">
            <v>12</v>
          </cell>
          <cell r="L80">
            <v>0</v>
          </cell>
          <cell r="M80">
            <v>22</v>
          </cell>
          <cell r="N80">
            <v>2.5</v>
          </cell>
          <cell r="O80">
            <v>16247.17</v>
          </cell>
          <cell r="P80">
            <v>49.6</v>
          </cell>
        </row>
        <row r="81">
          <cell r="A81">
            <v>21</v>
          </cell>
          <cell r="C81" t="str">
            <v>MIGRAINE &amp; OTHER HEADACHES                                                        </v>
          </cell>
          <cell r="D81">
            <v>0</v>
          </cell>
          <cell r="E81">
            <v>11</v>
          </cell>
          <cell r="F81">
            <v>8</v>
          </cell>
          <cell r="G81">
            <v>2</v>
          </cell>
          <cell r="H81">
            <v>0</v>
          </cell>
          <cell r="I81">
            <v>21</v>
          </cell>
          <cell r="J81">
            <v>3</v>
          </cell>
          <cell r="K81">
            <v>18</v>
          </cell>
          <cell r="L81">
            <v>0</v>
          </cell>
          <cell r="M81">
            <v>21</v>
          </cell>
          <cell r="N81">
            <v>2.1</v>
          </cell>
          <cell r="O81">
            <v>12475.97</v>
          </cell>
          <cell r="P81">
            <v>45.4</v>
          </cell>
        </row>
        <row r="82">
          <cell r="A82">
            <v>20.001</v>
          </cell>
          <cell r="C82" t="str">
            <v>OTHER COMPLICATIONS OF TREATMENT                                                  </v>
          </cell>
          <cell r="D82">
            <v>0</v>
          </cell>
          <cell r="E82">
            <v>3</v>
          </cell>
          <cell r="F82">
            <v>8</v>
          </cell>
          <cell r="G82">
            <v>9</v>
          </cell>
          <cell r="H82">
            <v>0</v>
          </cell>
          <cell r="I82">
            <v>20</v>
          </cell>
          <cell r="J82">
            <v>8</v>
          </cell>
          <cell r="K82">
            <v>12</v>
          </cell>
          <cell r="L82">
            <v>0</v>
          </cell>
          <cell r="M82">
            <v>20</v>
          </cell>
          <cell r="N82">
            <v>2.9</v>
          </cell>
          <cell r="O82">
            <v>14918.05</v>
          </cell>
          <cell r="P82">
            <v>62.2</v>
          </cell>
        </row>
        <row r="83">
          <cell r="A83">
            <v>20</v>
          </cell>
          <cell r="C83" t="str">
            <v>HIP &amp; FEMUR PROCEDURES FOR TRAUMA EXCEPT JOINT REPLACEMENT                        </v>
          </cell>
          <cell r="D83">
            <v>0</v>
          </cell>
          <cell r="E83">
            <v>2</v>
          </cell>
          <cell r="F83">
            <v>2</v>
          </cell>
          <cell r="G83">
            <v>16</v>
          </cell>
          <cell r="H83">
            <v>0</v>
          </cell>
          <cell r="I83">
            <v>20</v>
          </cell>
          <cell r="J83">
            <v>5</v>
          </cell>
          <cell r="K83">
            <v>15</v>
          </cell>
          <cell r="L83">
            <v>0</v>
          </cell>
          <cell r="M83">
            <v>20</v>
          </cell>
          <cell r="N83">
            <v>6.5</v>
          </cell>
          <cell r="O83">
            <v>44231.47</v>
          </cell>
          <cell r="P83">
            <v>77.4</v>
          </cell>
        </row>
        <row r="84">
          <cell r="A84">
            <v>19.001</v>
          </cell>
          <cell r="C84" t="str">
            <v>HYPOVOLEMIA &amp; RELATED ELECTROLYTE DISORDERS                                       </v>
          </cell>
          <cell r="D84">
            <v>0</v>
          </cell>
          <cell r="E84">
            <v>2</v>
          </cell>
          <cell r="F84">
            <v>5</v>
          </cell>
          <cell r="G84">
            <v>12</v>
          </cell>
          <cell r="H84">
            <v>0</v>
          </cell>
          <cell r="I84">
            <v>19</v>
          </cell>
          <cell r="J84">
            <v>10</v>
          </cell>
          <cell r="K84">
            <v>9</v>
          </cell>
          <cell r="L84">
            <v>0</v>
          </cell>
          <cell r="M84">
            <v>19</v>
          </cell>
          <cell r="N84">
            <v>4.3</v>
          </cell>
          <cell r="O84">
            <v>16626.5</v>
          </cell>
          <cell r="P84">
            <v>69.2</v>
          </cell>
        </row>
        <row r="85">
          <cell r="A85">
            <v>19.001</v>
          </cell>
          <cell r="C85" t="str">
            <v>OTHER DISORDERS OF THE LIVER                                                      </v>
          </cell>
          <cell r="D85">
            <v>2</v>
          </cell>
          <cell r="E85">
            <v>8</v>
          </cell>
          <cell r="F85">
            <v>7</v>
          </cell>
          <cell r="G85">
            <v>2</v>
          </cell>
          <cell r="H85">
            <v>0</v>
          </cell>
          <cell r="I85">
            <v>19</v>
          </cell>
          <cell r="J85">
            <v>13</v>
          </cell>
          <cell r="K85">
            <v>6</v>
          </cell>
          <cell r="L85">
            <v>0</v>
          </cell>
          <cell r="M85">
            <v>19</v>
          </cell>
          <cell r="N85">
            <v>4.7</v>
          </cell>
          <cell r="O85">
            <v>24103.42</v>
          </cell>
          <cell r="P85">
            <v>44</v>
          </cell>
        </row>
        <row r="86">
          <cell r="A86">
            <v>19.001</v>
          </cell>
          <cell r="C86" t="str">
            <v>HEPATIC COMA &amp; OTHER MAJOR ACUTE LIVER DISORDERS                                  </v>
          </cell>
          <cell r="D86">
            <v>0</v>
          </cell>
          <cell r="E86">
            <v>1</v>
          </cell>
          <cell r="F86">
            <v>14</v>
          </cell>
          <cell r="G86">
            <v>4</v>
          </cell>
          <cell r="H86">
            <v>0</v>
          </cell>
          <cell r="I86">
            <v>19</v>
          </cell>
          <cell r="J86">
            <v>13</v>
          </cell>
          <cell r="K86">
            <v>6</v>
          </cell>
          <cell r="L86">
            <v>0</v>
          </cell>
          <cell r="M86">
            <v>19</v>
          </cell>
          <cell r="N86">
            <v>6.9</v>
          </cell>
          <cell r="O86">
            <v>36541.76</v>
          </cell>
          <cell r="P86">
            <v>57.6</v>
          </cell>
        </row>
        <row r="87">
          <cell r="A87">
            <v>19</v>
          </cell>
          <cell r="C87" t="str">
            <v>OTHER NERVOUS SYSTEM &amp; RELATED PROCEDURES                                         </v>
          </cell>
          <cell r="D87">
            <v>0</v>
          </cell>
          <cell r="E87">
            <v>2</v>
          </cell>
          <cell r="F87">
            <v>14</v>
          </cell>
          <cell r="G87">
            <v>3</v>
          </cell>
          <cell r="H87">
            <v>0</v>
          </cell>
          <cell r="I87">
            <v>19</v>
          </cell>
          <cell r="J87">
            <v>7</v>
          </cell>
          <cell r="K87">
            <v>12</v>
          </cell>
          <cell r="L87">
            <v>0</v>
          </cell>
          <cell r="M87">
            <v>19</v>
          </cell>
          <cell r="N87">
            <v>1.6</v>
          </cell>
          <cell r="O87">
            <v>40601.38</v>
          </cell>
          <cell r="P87">
            <v>55</v>
          </cell>
        </row>
        <row r="88">
          <cell r="A88">
            <v>18.001</v>
          </cell>
          <cell r="C88" t="str">
            <v>CONTUSION, OPEN WOUND &amp; OTHER TRAUMA TO SKIN &amp; SUBCUTANEOUS TISSUE                </v>
          </cell>
          <cell r="D88">
            <v>0</v>
          </cell>
          <cell r="E88">
            <v>2</v>
          </cell>
          <cell r="F88">
            <v>3</v>
          </cell>
          <cell r="G88">
            <v>13</v>
          </cell>
          <cell r="H88">
            <v>0</v>
          </cell>
          <cell r="I88">
            <v>18</v>
          </cell>
          <cell r="J88">
            <v>1</v>
          </cell>
          <cell r="K88">
            <v>17</v>
          </cell>
          <cell r="L88">
            <v>0</v>
          </cell>
          <cell r="M88">
            <v>18</v>
          </cell>
          <cell r="N88">
            <v>3.9</v>
          </cell>
          <cell r="O88">
            <v>14728.69</v>
          </cell>
          <cell r="P88">
            <v>73.8</v>
          </cell>
        </row>
        <row r="89">
          <cell r="A89">
            <v>18.001</v>
          </cell>
          <cell r="C89" t="str">
            <v>DIGESTIVE MALIGNANCY                                                              </v>
          </cell>
          <cell r="D89">
            <v>0</v>
          </cell>
          <cell r="E89">
            <v>2</v>
          </cell>
          <cell r="F89">
            <v>7</v>
          </cell>
          <cell r="G89">
            <v>9</v>
          </cell>
          <cell r="H89">
            <v>0</v>
          </cell>
          <cell r="I89">
            <v>18</v>
          </cell>
          <cell r="J89">
            <v>13</v>
          </cell>
          <cell r="K89">
            <v>5</v>
          </cell>
          <cell r="L89">
            <v>0</v>
          </cell>
          <cell r="M89">
            <v>18</v>
          </cell>
          <cell r="N89">
            <v>6.4</v>
          </cell>
          <cell r="O89">
            <v>31056.85</v>
          </cell>
          <cell r="P89">
            <v>65.1</v>
          </cell>
        </row>
        <row r="90">
          <cell r="A90">
            <v>18</v>
          </cell>
          <cell r="C90" t="str">
            <v>OTHER CIRCULATORY SYSTEM DIAGNOSES                                                </v>
          </cell>
          <cell r="D90">
            <v>0</v>
          </cell>
          <cell r="E90">
            <v>1</v>
          </cell>
          <cell r="F90">
            <v>6</v>
          </cell>
          <cell r="G90">
            <v>11</v>
          </cell>
          <cell r="H90">
            <v>0</v>
          </cell>
          <cell r="I90">
            <v>18</v>
          </cell>
          <cell r="J90">
            <v>16</v>
          </cell>
          <cell r="K90">
            <v>2</v>
          </cell>
          <cell r="L90">
            <v>0</v>
          </cell>
          <cell r="M90">
            <v>18</v>
          </cell>
          <cell r="N90">
            <v>4.2</v>
          </cell>
          <cell r="O90">
            <v>19097.07</v>
          </cell>
          <cell r="P90">
            <v>67.3</v>
          </cell>
        </row>
        <row r="91">
          <cell r="A91">
            <v>17.4</v>
          </cell>
          <cell r="C91" t="str">
            <v>OTHER INFECTIOUS &amp; PARASITIC DISEASES                                             </v>
          </cell>
          <cell r="D91">
            <v>0</v>
          </cell>
          <cell r="E91">
            <v>6</v>
          </cell>
          <cell r="F91">
            <v>3</v>
          </cell>
          <cell r="G91">
            <v>8</v>
          </cell>
          <cell r="H91">
            <v>0</v>
          </cell>
          <cell r="I91">
            <v>17</v>
          </cell>
          <cell r="J91">
            <v>10</v>
          </cell>
          <cell r="K91">
            <v>7</v>
          </cell>
          <cell r="L91">
            <v>0</v>
          </cell>
          <cell r="M91">
            <v>17</v>
          </cell>
          <cell r="N91">
            <v>4.8</v>
          </cell>
          <cell r="O91">
            <v>19346.84</v>
          </cell>
          <cell r="P91">
            <v>60.1</v>
          </cell>
        </row>
        <row r="92">
          <cell r="A92">
            <v>17.001</v>
          </cell>
          <cell r="C92" t="str">
            <v>INFECTIOUS &amp; PARASITIC DISEASES INCLUDING HIV W O.R. PROCEDURE                    </v>
          </cell>
          <cell r="D92">
            <v>0</v>
          </cell>
          <cell r="E92">
            <v>3</v>
          </cell>
          <cell r="F92">
            <v>2</v>
          </cell>
          <cell r="G92">
            <v>12</v>
          </cell>
          <cell r="H92">
            <v>0</v>
          </cell>
          <cell r="I92">
            <v>17</v>
          </cell>
          <cell r="J92">
            <v>8</v>
          </cell>
          <cell r="K92">
            <v>9</v>
          </cell>
          <cell r="L92">
            <v>0</v>
          </cell>
          <cell r="M92">
            <v>17</v>
          </cell>
          <cell r="N92">
            <v>14.1</v>
          </cell>
          <cell r="O92">
            <v>108032.96</v>
          </cell>
          <cell r="P92">
            <v>64.1</v>
          </cell>
        </row>
        <row r="93">
          <cell r="A93">
            <v>17.001</v>
          </cell>
          <cell r="C93" t="str">
            <v>THREATENED ABORTION                                                               </v>
          </cell>
          <cell r="D93">
            <v>1</v>
          </cell>
          <cell r="E93">
            <v>16</v>
          </cell>
          <cell r="F93">
            <v>0</v>
          </cell>
          <cell r="G93">
            <v>0</v>
          </cell>
          <cell r="H93">
            <v>0</v>
          </cell>
          <cell r="I93">
            <v>17</v>
          </cell>
          <cell r="J93">
            <v>0</v>
          </cell>
          <cell r="K93">
            <v>17</v>
          </cell>
          <cell r="L93">
            <v>0</v>
          </cell>
          <cell r="M93">
            <v>17</v>
          </cell>
          <cell r="N93">
            <v>3.1</v>
          </cell>
          <cell r="O93">
            <v>8908.99</v>
          </cell>
          <cell r="P93">
            <v>26.8</v>
          </cell>
        </row>
        <row r="94">
          <cell r="A94">
            <v>17.001</v>
          </cell>
          <cell r="C94" t="str">
            <v>MALE REPRODUCTIVE SYSTEM DIAGNOSES EXCEPT MALIGNANCY                              </v>
          </cell>
          <cell r="D94">
            <v>0</v>
          </cell>
          <cell r="E94">
            <v>3</v>
          </cell>
          <cell r="F94">
            <v>5</v>
          </cell>
          <cell r="G94">
            <v>9</v>
          </cell>
          <cell r="H94">
            <v>0</v>
          </cell>
          <cell r="I94">
            <v>17</v>
          </cell>
          <cell r="J94">
            <v>17</v>
          </cell>
          <cell r="K94">
            <v>0</v>
          </cell>
          <cell r="L94">
            <v>0</v>
          </cell>
          <cell r="M94">
            <v>17</v>
          </cell>
          <cell r="N94">
            <v>3.9</v>
          </cell>
          <cell r="O94">
            <v>16251.38</v>
          </cell>
          <cell r="P94">
            <v>63.2</v>
          </cell>
        </row>
        <row r="95">
          <cell r="A95">
            <v>17.001</v>
          </cell>
          <cell r="C95" t="str">
            <v>KIDNEY &amp; URINARY TRACT PROCEDURES FOR MALIGNANCY                                  </v>
          </cell>
          <cell r="D95">
            <v>0</v>
          </cell>
          <cell r="E95">
            <v>0</v>
          </cell>
          <cell r="F95">
            <v>10</v>
          </cell>
          <cell r="G95">
            <v>7</v>
          </cell>
          <cell r="H95">
            <v>0</v>
          </cell>
          <cell r="I95">
            <v>17</v>
          </cell>
          <cell r="J95">
            <v>8</v>
          </cell>
          <cell r="K95">
            <v>9</v>
          </cell>
          <cell r="L95">
            <v>0</v>
          </cell>
          <cell r="M95">
            <v>17</v>
          </cell>
          <cell r="N95">
            <v>4.1</v>
          </cell>
          <cell r="O95">
            <v>42390.29</v>
          </cell>
          <cell r="P95">
            <v>61.9</v>
          </cell>
        </row>
        <row r="96">
          <cell r="A96">
            <v>17.001</v>
          </cell>
          <cell r="C96" t="str">
            <v>OTHER RESPIRATORY DIAGNOSES EXCEPT SIGNS, SYMPTOMS &amp; MINOR DIAGNOSES              </v>
          </cell>
          <cell r="D96">
            <v>0</v>
          </cell>
          <cell r="E96">
            <v>1</v>
          </cell>
          <cell r="F96">
            <v>5</v>
          </cell>
          <cell r="G96">
            <v>11</v>
          </cell>
          <cell r="H96">
            <v>0</v>
          </cell>
          <cell r="I96">
            <v>17</v>
          </cell>
          <cell r="J96">
            <v>8</v>
          </cell>
          <cell r="K96">
            <v>9</v>
          </cell>
          <cell r="L96">
            <v>0</v>
          </cell>
          <cell r="M96">
            <v>17</v>
          </cell>
          <cell r="N96">
            <v>4.4</v>
          </cell>
          <cell r="O96">
            <v>17281.52</v>
          </cell>
          <cell r="P96">
            <v>66.9</v>
          </cell>
        </row>
        <row r="97">
          <cell r="A97">
            <v>17.001</v>
          </cell>
          <cell r="C97" t="str">
            <v>RESPIRATORY MALIGNANCY                                                            </v>
          </cell>
          <cell r="D97">
            <v>0</v>
          </cell>
          <cell r="E97">
            <v>1</v>
          </cell>
          <cell r="F97">
            <v>7</v>
          </cell>
          <cell r="G97">
            <v>9</v>
          </cell>
          <cell r="H97">
            <v>0</v>
          </cell>
          <cell r="I97">
            <v>17</v>
          </cell>
          <cell r="J97">
            <v>10</v>
          </cell>
          <cell r="K97">
            <v>7</v>
          </cell>
          <cell r="L97">
            <v>0</v>
          </cell>
          <cell r="M97">
            <v>17</v>
          </cell>
          <cell r="N97">
            <v>6.6</v>
          </cell>
          <cell r="O97">
            <v>36161.9</v>
          </cell>
          <cell r="P97">
            <v>67.8</v>
          </cell>
        </row>
        <row r="98">
          <cell r="A98">
            <v>17</v>
          </cell>
          <cell r="C98" t="str">
            <v>OTHER EAR, NOSE, MOUTH,THROAT &amp; CRANIAL/FACIAL DIAGNOSES                          </v>
          </cell>
          <cell r="D98">
            <v>0</v>
          </cell>
          <cell r="E98">
            <v>2</v>
          </cell>
          <cell r="F98">
            <v>4</v>
          </cell>
          <cell r="G98">
            <v>11</v>
          </cell>
          <cell r="H98">
            <v>0</v>
          </cell>
          <cell r="I98">
            <v>17</v>
          </cell>
          <cell r="J98">
            <v>7</v>
          </cell>
          <cell r="K98">
            <v>10</v>
          </cell>
          <cell r="L98">
            <v>0</v>
          </cell>
          <cell r="M98">
            <v>17</v>
          </cell>
          <cell r="N98">
            <v>2.9</v>
          </cell>
          <cell r="O98">
            <v>12901.88</v>
          </cell>
          <cell r="P98">
            <v>66.1</v>
          </cell>
        </row>
        <row r="99">
          <cell r="A99">
            <v>16.001</v>
          </cell>
          <cell r="C99" t="str">
            <v>TOXIC EFFECTS OF NON-MEDICINAL SUBSTANCES                                         </v>
          </cell>
          <cell r="D99">
            <v>0</v>
          </cell>
          <cell r="E99">
            <v>5</v>
          </cell>
          <cell r="F99">
            <v>10</v>
          </cell>
          <cell r="G99">
            <v>1</v>
          </cell>
          <cell r="H99">
            <v>0</v>
          </cell>
          <cell r="I99">
            <v>16</v>
          </cell>
          <cell r="J99">
            <v>8</v>
          </cell>
          <cell r="K99">
            <v>8</v>
          </cell>
          <cell r="L99">
            <v>0</v>
          </cell>
          <cell r="M99">
            <v>16</v>
          </cell>
          <cell r="N99">
            <v>1.9</v>
          </cell>
          <cell r="O99">
            <v>14204.78</v>
          </cell>
          <cell r="P99">
            <v>52.3</v>
          </cell>
        </row>
        <row r="100">
          <cell r="A100">
            <v>16.001</v>
          </cell>
          <cell r="C100" t="str">
            <v>ALLERGIC REACTIONS                                                                </v>
          </cell>
          <cell r="D100">
            <v>0</v>
          </cell>
          <cell r="E100">
            <v>4</v>
          </cell>
          <cell r="F100">
            <v>8</v>
          </cell>
          <cell r="G100">
            <v>4</v>
          </cell>
          <cell r="H100">
            <v>0</v>
          </cell>
          <cell r="I100">
            <v>16</v>
          </cell>
          <cell r="J100">
            <v>7</v>
          </cell>
          <cell r="K100">
            <v>9</v>
          </cell>
          <cell r="L100">
            <v>0</v>
          </cell>
          <cell r="M100">
            <v>16</v>
          </cell>
          <cell r="N100">
            <v>1.4</v>
          </cell>
          <cell r="O100">
            <v>5321.16</v>
          </cell>
          <cell r="P100">
            <v>55.7</v>
          </cell>
        </row>
        <row r="101">
          <cell r="A101">
            <v>16.001</v>
          </cell>
          <cell r="C101" t="str">
            <v>NEONATE BWT 1500-1999G W OR W/O OTHER SIGNIFICANT CONDITION                       </v>
          </cell>
          <cell r="D101">
            <v>16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16</v>
          </cell>
          <cell r="J101">
            <v>8</v>
          </cell>
          <cell r="K101">
            <v>8</v>
          </cell>
          <cell r="L101">
            <v>0</v>
          </cell>
          <cell r="M101">
            <v>16</v>
          </cell>
          <cell r="N101">
            <v>14.1</v>
          </cell>
          <cell r="O101">
            <v>12916.52</v>
          </cell>
          <cell r="P101">
            <v>0</v>
          </cell>
        </row>
        <row r="102">
          <cell r="A102">
            <v>16.001</v>
          </cell>
          <cell r="C102" t="str">
            <v>NEONATE, TRANSFERRED &lt; 5 DAYS OLD, BORN HERE                                      </v>
          </cell>
          <cell r="D102">
            <v>16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16</v>
          </cell>
          <cell r="J102">
            <v>10</v>
          </cell>
          <cell r="K102">
            <v>6</v>
          </cell>
          <cell r="L102">
            <v>0</v>
          </cell>
          <cell r="M102">
            <v>16</v>
          </cell>
          <cell r="N102">
            <v>1.2</v>
          </cell>
          <cell r="O102">
            <v>3622.96</v>
          </cell>
          <cell r="P102">
            <v>0</v>
          </cell>
        </row>
        <row r="103">
          <cell r="A103">
            <v>16</v>
          </cell>
          <cell r="C103" t="str">
            <v>PERM CARDIAC PACEMAKER IMPLANT W/O AMI, HEART FAILURE OR SHOCK                    </v>
          </cell>
          <cell r="D103">
            <v>0</v>
          </cell>
          <cell r="E103">
            <v>0</v>
          </cell>
          <cell r="F103">
            <v>3</v>
          </cell>
          <cell r="G103">
            <v>13</v>
          </cell>
          <cell r="H103">
            <v>0</v>
          </cell>
          <cell r="I103">
            <v>16</v>
          </cell>
          <cell r="J103">
            <v>6</v>
          </cell>
          <cell r="K103">
            <v>10</v>
          </cell>
          <cell r="L103">
            <v>0</v>
          </cell>
          <cell r="M103">
            <v>16</v>
          </cell>
          <cell r="N103">
            <v>5.3</v>
          </cell>
          <cell r="O103">
            <v>56914.44</v>
          </cell>
          <cell r="P103">
            <v>78.9</v>
          </cell>
        </row>
        <row r="104">
          <cell r="A104">
            <v>15.001</v>
          </cell>
          <cell r="C104" t="str">
            <v>NEONATE BIRTHWT &gt;2499G W OTHER SIGNIFICANT CONDITION                              </v>
          </cell>
          <cell r="D104">
            <v>15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15</v>
          </cell>
          <cell r="J104">
            <v>6</v>
          </cell>
          <cell r="K104">
            <v>9</v>
          </cell>
          <cell r="L104">
            <v>0</v>
          </cell>
          <cell r="M104">
            <v>15</v>
          </cell>
          <cell r="N104">
            <v>5.7</v>
          </cell>
          <cell r="O104">
            <v>6842.61</v>
          </cell>
          <cell r="P104">
            <v>0</v>
          </cell>
        </row>
        <row r="105">
          <cell r="A105">
            <v>15.001</v>
          </cell>
          <cell r="C105" t="str">
            <v>PELVIC EVISCERATION, RADICAL HYSTERECTOMY &amp; OTHER RADICAL GYN PROCS               </v>
          </cell>
          <cell r="D105">
            <v>0</v>
          </cell>
          <cell r="E105">
            <v>5</v>
          </cell>
          <cell r="F105">
            <v>9</v>
          </cell>
          <cell r="G105">
            <v>1</v>
          </cell>
          <cell r="H105">
            <v>0</v>
          </cell>
          <cell r="I105">
            <v>15</v>
          </cell>
          <cell r="J105">
            <v>0</v>
          </cell>
          <cell r="K105">
            <v>15</v>
          </cell>
          <cell r="L105">
            <v>0</v>
          </cell>
          <cell r="M105">
            <v>15</v>
          </cell>
          <cell r="N105">
            <v>1.4</v>
          </cell>
          <cell r="O105">
            <v>25802.28</v>
          </cell>
          <cell r="P105">
            <v>48.9</v>
          </cell>
        </row>
        <row r="106">
          <cell r="A106">
            <v>15.001</v>
          </cell>
          <cell r="C106" t="str">
            <v>INTERVERTEBRAL DISC EXCISION &amp; DECOMPRESSION                                      </v>
          </cell>
          <cell r="D106">
            <v>0</v>
          </cell>
          <cell r="E106">
            <v>3</v>
          </cell>
          <cell r="F106">
            <v>9</v>
          </cell>
          <cell r="G106">
            <v>3</v>
          </cell>
          <cell r="H106">
            <v>0</v>
          </cell>
          <cell r="I106">
            <v>15</v>
          </cell>
          <cell r="J106">
            <v>11</v>
          </cell>
          <cell r="K106">
            <v>4</v>
          </cell>
          <cell r="L106">
            <v>0</v>
          </cell>
          <cell r="M106">
            <v>15</v>
          </cell>
          <cell r="N106">
            <v>3.9</v>
          </cell>
          <cell r="O106">
            <v>35263.77</v>
          </cell>
          <cell r="P106">
            <v>55.1</v>
          </cell>
        </row>
        <row r="107">
          <cell r="A107">
            <v>15.001</v>
          </cell>
          <cell r="C107" t="str">
            <v>HERNIA PROCEDURES EXCEPT INGUINAL, FEMORAL &amp; UMBILICAL                            </v>
          </cell>
          <cell r="D107">
            <v>0</v>
          </cell>
          <cell r="E107">
            <v>3</v>
          </cell>
          <cell r="F107">
            <v>6</v>
          </cell>
          <cell r="G107">
            <v>6</v>
          </cell>
          <cell r="H107">
            <v>0</v>
          </cell>
          <cell r="I107">
            <v>15</v>
          </cell>
          <cell r="J107">
            <v>6</v>
          </cell>
          <cell r="K107">
            <v>9</v>
          </cell>
          <cell r="L107">
            <v>0</v>
          </cell>
          <cell r="M107">
            <v>15</v>
          </cell>
          <cell r="N107">
            <v>4</v>
          </cell>
          <cell r="O107">
            <v>31693.86</v>
          </cell>
          <cell r="P107">
            <v>59.2</v>
          </cell>
        </row>
        <row r="108">
          <cell r="A108">
            <v>15.001</v>
          </cell>
          <cell r="C108" t="str">
            <v>CARDIAC VALVE PROCEDURES W/O CARDIAC CATHETERIZATION                              </v>
          </cell>
          <cell r="D108">
            <v>0</v>
          </cell>
          <cell r="E108">
            <v>1</v>
          </cell>
          <cell r="F108">
            <v>8</v>
          </cell>
          <cell r="G108">
            <v>6</v>
          </cell>
          <cell r="H108">
            <v>0</v>
          </cell>
          <cell r="I108">
            <v>15</v>
          </cell>
          <cell r="J108">
            <v>11</v>
          </cell>
          <cell r="K108">
            <v>4</v>
          </cell>
          <cell r="L108">
            <v>0</v>
          </cell>
          <cell r="M108">
            <v>15</v>
          </cell>
          <cell r="N108">
            <v>7.5</v>
          </cell>
          <cell r="O108">
            <v>108386.26</v>
          </cell>
          <cell r="P108">
            <v>63.3</v>
          </cell>
        </row>
        <row r="109">
          <cell r="A109">
            <v>15</v>
          </cell>
          <cell r="C109" t="str">
            <v>DEGENERATIVE NERVOUS SYSTEM DISORDERS EXC MULT SCLEROSIS                          </v>
          </cell>
          <cell r="D109">
            <v>0</v>
          </cell>
          <cell r="E109">
            <v>1</v>
          </cell>
          <cell r="F109">
            <v>1</v>
          </cell>
          <cell r="G109">
            <v>13</v>
          </cell>
          <cell r="H109">
            <v>0</v>
          </cell>
          <cell r="I109">
            <v>15</v>
          </cell>
          <cell r="J109">
            <v>9</v>
          </cell>
          <cell r="K109">
            <v>6</v>
          </cell>
          <cell r="L109">
            <v>0</v>
          </cell>
          <cell r="M109">
            <v>15</v>
          </cell>
          <cell r="N109">
            <v>6.6</v>
          </cell>
          <cell r="O109">
            <v>26067.34</v>
          </cell>
          <cell r="P109">
            <v>74.7</v>
          </cell>
        </row>
        <row r="110">
          <cell r="A110">
            <v>14.001</v>
          </cell>
          <cell r="C110" t="str">
            <v>MALFUNCTION, REACTION, COMPLIC OF GENITOURINARY DEVICE OR PROC                    </v>
          </cell>
          <cell r="D110">
            <v>0</v>
          </cell>
          <cell r="E110">
            <v>0</v>
          </cell>
          <cell r="F110">
            <v>8</v>
          </cell>
          <cell r="G110">
            <v>6</v>
          </cell>
          <cell r="H110">
            <v>0</v>
          </cell>
          <cell r="I110">
            <v>14</v>
          </cell>
          <cell r="J110">
            <v>7</v>
          </cell>
          <cell r="K110">
            <v>7</v>
          </cell>
          <cell r="L110">
            <v>0</v>
          </cell>
          <cell r="M110">
            <v>14</v>
          </cell>
          <cell r="N110">
            <v>5</v>
          </cell>
          <cell r="O110">
            <v>23361.21</v>
          </cell>
          <cell r="P110">
            <v>62.9</v>
          </cell>
        </row>
        <row r="111">
          <cell r="A111">
            <v>14.001</v>
          </cell>
          <cell r="C111" t="str">
            <v>OTHER SKIN, SUBCUTANEOUS TISSUE &amp; BREAST DISORDERS                                </v>
          </cell>
          <cell r="D111">
            <v>0</v>
          </cell>
          <cell r="E111">
            <v>7</v>
          </cell>
          <cell r="F111">
            <v>4</v>
          </cell>
          <cell r="G111">
            <v>3</v>
          </cell>
          <cell r="H111">
            <v>0</v>
          </cell>
          <cell r="I111">
            <v>14</v>
          </cell>
          <cell r="J111">
            <v>4</v>
          </cell>
          <cell r="K111">
            <v>10</v>
          </cell>
          <cell r="L111">
            <v>0</v>
          </cell>
          <cell r="M111">
            <v>14</v>
          </cell>
          <cell r="N111">
            <v>2.9</v>
          </cell>
          <cell r="O111">
            <v>11923.44</v>
          </cell>
          <cell r="P111">
            <v>48.4</v>
          </cell>
        </row>
        <row r="112">
          <cell r="A112">
            <v>14.001</v>
          </cell>
          <cell r="C112" t="str">
            <v>SKIN ULCERS                                                                       </v>
          </cell>
          <cell r="D112">
            <v>0</v>
          </cell>
          <cell r="E112">
            <v>4</v>
          </cell>
          <cell r="F112">
            <v>6</v>
          </cell>
          <cell r="G112">
            <v>4</v>
          </cell>
          <cell r="H112">
            <v>0</v>
          </cell>
          <cell r="I112">
            <v>14</v>
          </cell>
          <cell r="J112">
            <v>8</v>
          </cell>
          <cell r="K112">
            <v>6</v>
          </cell>
          <cell r="L112">
            <v>0</v>
          </cell>
          <cell r="M112">
            <v>14</v>
          </cell>
          <cell r="N112">
            <v>7.2</v>
          </cell>
          <cell r="O112">
            <v>25691.61</v>
          </cell>
          <cell r="P112">
            <v>53.8</v>
          </cell>
        </row>
        <row r="113">
          <cell r="A113">
            <v>14</v>
          </cell>
          <cell r="C113" t="str">
            <v>ALCOHOLIC LIVER DISEASE                                                           </v>
          </cell>
          <cell r="D113">
            <v>0</v>
          </cell>
          <cell r="E113">
            <v>4</v>
          </cell>
          <cell r="F113">
            <v>6</v>
          </cell>
          <cell r="G113">
            <v>4</v>
          </cell>
          <cell r="H113">
            <v>0</v>
          </cell>
          <cell r="I113">
            <v>14</v>
          </cell>
          <cell r="J113">
            <v>11</v>
          </cell>
          <cell r="K113">
            <v>3</v>
          </cell>
          <cell r="L113">
            <v>0</v>
          </cell>
          <cell r="M113">
            <v>14</v>
          </cell>
          <cell r="N113">
            <v>4.9</v>
          </cell>
          <cell r="O113">
            <v>26625.64</v>
          </cell>
          <cell r="P113">
            <v>55.1</v>
          </cell>
        </row>
        <row r="114">
          <cell r="A114">
            <v>13.001</v>
          </cell>
          <cell r="C114" t="str">
            <v>MODERATELY EXTENSIVE PROCEDURE UNRELATED TO PRINCIPAL DIAGNOSIS                   </v>
          </cell>
          <cell r="D114">
            <v>0</v>
          </cell>
          <cell r="E114">
            <v>2</v>
          </cell>
          <cell r="F114">
            <v>2</v>
          </cell>
          <cell r="G114">
            <v>9</v>
          </cell>
          <cell r="H114">
            <v>0</v>
          </cell>
          <cell r="I114">
            <v>13</v>
          </cell>
          <cell r="J114">
            <v>5</v>
          </cell>
          <cell r="K114">
            <v>8</v>
          </cell>
          <cell r="L114">
            <v>0</v>
          </cell>
          <cell r="M114">
            <v>13</v>
          </cell>
          <cell r="N114">
            <v>11.4</v>
          </cell>
          <cell r="O114">
            <v>76824.78</v>
          </cell>
          <cell r="P114">
            <v>67.5</v>
          </cell>
        </row>
        <row r="115">
          <cell r="A115">
            <v>13.001</v>
          </cell>
          <cell r="C115" t="str">
            <v>MENSTRUAL &amp; OTHER FEMALE REPRODUCTIVE SYSTEM DISORDERS                            </v>
          </cell>
          <cell r="D115">
            <v>0</v>
          </cell>
          <cell r="E115">
            <v>10</v>
          </cell>
          <cell r="F115">
            <v>3</v>
          </cell>
          <cell r="G115">
            <v>0</v>
          </cell>
          <cell r="H115">
            <v>0</v>
          </cell>
          <cell r="I115">
            <v>13</v>
          </cell>
          <cell r="J115">
            <v>0</v>
          </cell>
          <cell r="K115">
            <v>13</v>
          </cell>
          <cell r="L115">
            <v>0</v>
          </cell>
          <cell r="M115">
            <v>13</v>
          </cell>
          <cell r="N115">
            <v>2.2</v>
          </cell>
          <cell r="O115">
            <v>12469.51</v>
          </cell>
          <cell r="P115">
            <v>35.4</v>
          </cell>
        </row>
        <row r="116">
          <cell r="A116">
            <v>13.001</v>
          </cell>
          <cell r="C116" t="str">
            <v>FEMALE REPRODUCTIVE SYSTEM RECONSTRUCTIVE PROCEDURES                              </v>
          </cell>
          <cell r="D116">
            <v>0</v>
          </cell>
          <cell r="E116">
            <v>1</v>
          </cell>
          <cell r="F116">
            <v>5</v>
          </cell>
          <cell r="G116">
            <v>7</v>
          </cell>
          <cell r="H116">
            <v>0</v>
          </cell>
          <cell r="I116">
            <v>13</v>
          </cell>
          <cell r="J116">
            <v>0</v>
          </cell>
          <cell r="K116">
            <v>13</v>
          </cell>
          <cell r="L116">
            <v>0</v>
          </cell>
          <cell r="M116">
            <v>13</v>
          </cell>
          <cell r="N116">
            <v>2.4</v>
          </cell>
          <cell r="O116">
            <v>28555.28</v>
          </cell>
          <cell r="P116">
            <v>64.3</v>
          </cell>
        </row>
        <row r="117">
          <cell r="A117">
            <v>13.001</v>
          </cell>
          <cell r="C117" t="str">
            <v>INFLAMMATORY BOWEL DISEASE                                                        </v>
          </cell>
          <cell r="D117">
            <v>0</v>
          </cell>
          <cell r="E117">
            <v>10</v>
          </cell>
          <cell r="F117">
            <v>2</v>
          </cell>
          <cell r="G117">
            <v>1</v>
          </cell>
          <cell r="H117">
            <v>0</v>
          </cell>
          <cell r="I117">
            <v>13</v>
          </cell>
          <cell r="J117">
            <v>5</v>
          </cell>
          <cell r="K117">
            <v>8</v>
          </cell>
          <cell r="L117">
            <v>0</v>
          </cell>
          <cell r="M117">
            <v>13</v>
          </cell>
          <cell r="N117">
            <v>3.5</v>
          </cell>
          <cell r="O117">
            <v>18595.38</v>
          </cell>
          <cell r="P117">
            <v>38.8</v>
          </cell>
        </row>
        <row r="118">
          <cell r="A118">
            <v>13</v>
          </cell>
          <cell r="C118" t="str">
            <v>RESPIRATORY SYSTEM DIAGNOSIS W VENTILATOR SUPPORT 96+ HOURS                       </v>
          </cell>
          <cell r="D118">
            <v>0</v>
          </cell>
          <cell r="E118">
            <v>1</v>
          </cell>
          <cell r="F118">
            <v>4</v>
          </cell>
          <cell r="G118">
            <v>8</v>
          </cell>
          <cell r="H118">
            <v>0</v>
          </cell>
          <cell r="I118">
            <v>13</v>
          </cell>
          <cell r="J118">
            <v>7</v>
          </cell>
          <cell r="K118">
            <v>6</v>
          </cell>
          <cell r="L118">
            <v>0</v>
          </cell>
          <cell r="M118">
            <v>13</v>
          </cell>
          <cell r="N118">
            <v>13.8</v>
          </cell>
          <cell r="O118">
            <v>96801.22</v>
          </cell>
          <cell r="P118">
            <v>69.9</v>
          </cell>
        </row>
        <row r="119">
          <cell r="A119">
            <v>12.001</v>
          </cell>
          <cell r="C119" t="str">
            <v>PROCEDURE W DIAG OF REHAB, AFTERCARE OR OTH CONTACT W HEALTH SERVICE              </v>
          </cell>
          <cell r="D119">
            <v>0</v>
          </cell>
          <cell r="E119">
            <v>1</v>
          </cell>
          <cell r="F119">
            <v>8</v>
          </cell>
          <cell r="G119">
            <v>3</v>
          </cell>
          <cell r="H119">
            <v>0</v>
          </cell>
          <cell r="I119">
            <v>12</v>
          </cell>
          <cell r="J119">
            <v>9</v>
          </cell>
          <cell r="K119">
            <v>3</v>
          </cell>
          <cell r="L119">
            <v>0</v>
          </cell>
          <cell r="M119">
            <v>12</v>
          </cell>
          <cell r="N119">
            <v>1</v>
          </cell>
          <cell r="O119">
            <v>39435.96</v>
          </cell>
          <cell r="P119">
            <v>59.3</v>
          </cell>
        </row>
        <row r="120">
          <cell r="A120">
            <v>12.001</v>
          </cell>
          <cell r="C120" t="str">
            <v>O.R. PROCEDURE FOR OTHER COMPLICATIONS OF TREATMENT                               </v>
          </cell>
          <cell r="D120">
            <v>0</v>
          </cell>
          <cell r="E120">
            <v>3</v>
          </cell>
          <cell r="F120">
            <v>5</v>
          </cell>
          <cell r="G120">
            <v>4</v>
          </cell>
          <cell r="H120">
            <v>0</v>
          </cell>
          <cell r="I120">
            <v>12</v>
          </cell>
          <cell r="J120">
            <v>6</v>
          </cell>
          <cell r="K120">
            <v>6</v>
          </cell>
          <cell r="L120">
            <v>0</v>
          </cell>
          <cell r="M120">
            <v>12</v>
          </cell>
          <cell r="N120">
            <v>4.3</v>
          </cell>
          <cell r="O120">
            <v>31728.6</v>
          </cell>
          <cell r="P120">
            <v>53.8</v>
          </cell>
        </row>
        <row r="121">
          <cell r="A121">
            <v>12.001</v>
          </cell>
          <cell r="C121" t="str">
            <v>SICKLE CELL ANEMIA CRISIS                                                         </v>
          </cell>
          <cell r="D121">
            <v>0</v>
          </cell>
          <cell r="E121">
            <v>11</v>
          </cell>
          <cell r="F121">
            <v>1</v>
          </cell>
          <cell r="G121">
            <v>0</v>
          </cell>
          <cell r="H121">
            <v>0</v>
          </cell>
          <cell r="I121">
            <v>12</v>
          </cell>
          <cell r="J121">
            <v>4</v>
          </cell>
          <cell r="K121">
            <v>8</v>
          </cell>
          <cell r="L121">
            <v>0</v>
          </cell>
          <cell r="M121">
            <v>12</v>
          </cell>
          <cell r="N121">
            <v>4.4</v>
          </cell>
          <cell r="O121">
            <v>15831.94</v>
          </cell>
          <cell r="P121">
            <v>33.7</v>
          </cell>
        </row>
        <row r="122">
          <cell r="A122">
            <v>12.001</v>
          </cell>
          <cell r="C122" t="str">
            <v>POSTPARTUM &amp; POST ABORTION DIAGNOSES W/O PROCEDURE                                </v>
          </cell>
          <cell r="D122">
            <v>2</v>
          </cell>
          <cell r="E122">
            <v>10</v>
          </cell>
          <cell r="F122">
            <v>0</v>
          </cell>
          <cell r="G122">
            <v>0</v>
          </cell>
          <cell r="H122">
            <v>0</v>
          </cell>
          <cell r="I122">
            <v>12</v>
          </cell>
          <cell r="J122">
            <v>0</v>
          </cell>
          <cell r="K122">
            <v>12</v>
          </cell>
          <cell r="L122">
            <v>0</v>
          </cell>
          <cell r="M122">
            <v>12</v>
          </cell>
          <cell r="N122">
            <v>1.7</v>
          </cell>
          <cell r="O122">
            <v>6031.87</v>
          </cell>
          <cell r="P122">
            <v>25.2</v>
          </cell>
        </row>
        <row r="123">
          <cell r="A123">
            <v>12.001</v>
          </cell>
          <cell r="C123" t="str">
            <v>URETHRAL &amp; TRANSURETHRAL PROCEDURES                                               </v>
          </cell>
          <cell r="D123">
            <v>0</v>
          </cell>
          <cell r="E123">
            <v>4</v>
          </cell>
          <cell r="F123">
            <v>3</v>
          </cell>
          <cell r="G123">
            <v>5</v>
          </cell>
          <cell r="H123">
            <v>0</v>
          </cell>
          <cell r="I123">
            <v>12</v>
          </cell>
          <cell r="J123">
            <v>7</v>
          </cell>
          <cell r="K123">
            <v>5</v>
          </cell>
          <cell r="L123">
            <v>0</v>
          </cell>
          <cell r="M123">
            <v>12</v>
          </cell>
          <cell r="N123">
            <v>4</v>
          </cell>
          <cell r="O123">
            <v>25801.55</v>
          </cell>
          <cell r="P123">
            <v>59.4</v>
          </cell>
        </row>
        <row r="124">
          <cell r="A124">
            <v>12</v>
          </cell>
          <cell r="C124" t="str">
            <v>SHOULDER, UPPER ARM  &amp; FOREARM PROCEDURES                                         </v>
          </cell>
          <cell r="D124">
            <v>0</v>
          </cell>
          <cell r="E124">
            <v>1</v>
          </cell>
          <cell r="F124">
            <v>3</v>
          </cell>
          <cell r="G124">
            <v>8</v>
          </cell>
          <cell r="H124">
            <v>0</v>
          </cell>
          <cell r="I124">
            <v>12</v>
          </cell>
          <cell r="J124">
            <v>4</v>
          </cell>
          <cell r="K124">
            <v>8</v>
          </cell>
          <cell r="L124">
            <v>0</v>
          </cell>
          <cell r="M124">
            <v>12</v>
          </cell>
          <cell r="N124">
            <v>2.7</v>
          </cell>
          <cell r="O124">
            <v>31897.71</v>
          </cell>
          <cell r="P124">
            <v>69.5</v>
          </cell>
        </row>
        <row r="125">
          <cell r="A125">
            <v>11.001</v>
          </cell>
          <cell r="C125" t="str">
            <v>POST-OP, POST-TRAUMA, OTHER DEVICE INFECTIONS W O.R. PROCEDURE                    </v>
          </cell>
          <cell r="D125">
            <v>0</v>
          </cell>
          <cell r="E125">
            <v>2</v>
          </cell>
          <cell r="F125">
            <v>3</v>
          </cell>
          <cell r="G125">
            <v>6</v>
          </cell>
          <cell r="H125">
            <v>0</v>
          </cell>
          <cell r="I125">
            <v>11</v>
          </cell>
          <cell r="J125">
            <v>5</v>
          </cell>
          <cell r="K125">
            <v>6</v>
          </cell>
          <cell r="L125">
            <v>0</v>
          </cell>
          <cell r="M125">
            <v>11</v>
          </cell>
          <cell r="N125">
            <v>7.7</v>
          </cell>
          <cell r="O125">
            <v>51450.33</v>
          </cell>
          <cell r="P125">
            <v>59.3</v>
          </cell>
        </row>
        <row r="126">
          <cell r="A126">
            <v>11.001</v>
          </cell>
          <cell r="C126" t="str">
            <v>OTHER SKIN, SUBCUTANEOUS TISSUE &amp; RELATED PROCEDURES                              </v>
          </cell>
          <cell r="D126">
            <v>0</v>
          </cell>
          <cell r="E126">
            <v>5</v>
          </cell>
          <cell r="F126">
            <v>6</v>
          </cell>
          <cell r="G126">
            <v>0</v>
          </cell>
          <cell r="H126">
            <v>0</v>
          </cell>
          <cell r="I126">
            <v>11</v>
          </cell>
          <cell r="J126">
            <v>2</v>
          </cell>
          <cell r="K126">
            <v>9</v>
          </cell>
          <cell r="L126">
            <v>0</v>
          </cell>
          <cell r="M126">
            <v>11</v>
          </cell>
          <cell r="N126">
            <v>8.2</v>
          </cell>
          <cell r="O126">
            <v>41591.24</v>
          </cell>
          <cell r="P126">
            <v>44.1</v>
          </cell>
        </row>
        <row r="127">
          <cell r="A127">
            <v>11</v>
          </cell>
          <cell r="C127" t="str">
            <v>MALFUNCTION, REACTION &amp; COMPLICATION OF GI DEVICE OR PROCEDURE                    </v>
          </cell>
          <cell r="D127">
            <v>0</v>
          </cell>
          <cell r="E127">
            <v>3</v>
          </cell>
          <cell r="F127">
            <v>5</v>
          </cell>
          <cell r="G127">
            <v>3</v>
          </cell>
          <cell r="H127">
            <v>0</v>
          </cell>
          <cell r="I127">
            <v>11</v>
          </cell>
          <cell r="J127">
            <v>2</v>
          </cell>
          <cell r="K127">
            <v>9</v>
          </cell>
          <cell r="L127">
            <v>0</v>
          </cell>
          <cell r="M127">
            <v>11</v>
          </cell>
          <cell r="N127">
            <v>4.2</v>
          </cell>
          <cell r="O127">
            <v>19447.11</v>
          </cell>
          <cell r="P127">
            <v>55.2</v>
          </cell>
        </row>
        <row r="128">
          <cell r="A128">
            <v>10.001</v>
          </cell>
          <cell r="C128" t="str">
            <v>NEONATE BWT 2000-2499G, NORMAL NEWBORN OR NEONATE W OTHER PROBLEM                 </v>
          </cell>
          <cell r="D128">
            <v>10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10</v>
          </cell>
          <cell r="J128">
            <v>3</v>
          </cell>
          <cell r="K128">
            <v>7</v>
          </cell>
          <cell r="L128">
            <v>0</v>
          </cell>
          <cell r="M128">
            <v>10</v>
          </cell>
          <cell r="N128">
            <v>6.4</v>
          </cell>
          <cell r="O128">
            <v>7515.09</v>
          </cell>
          <cell r="P128">
            <v>0</v>
          </cell>
        </row>
        <row r="129">
          <cell r="A129">
            <v>10.001</v>
          </cell>
          <cell r="C129" t="str">
            <v>KIDNEY &amp; URINARY TRACT PROCEDURES FOR NONMALIGNANCY                               </v>
          </cell>
          <cell r="D129">
            <v>0</v>
          </cell>
          <cell r="E129">
            <v>2</v>
          </cell>
          <cell r="F129">
            <v>4</v>
          </cell>
          <cell r="G129">
            <v>4</v>
          </cell>
          <cell r="H129">
            <v>0</v>
          </cell>
          <cell r="I129">
            <v>10</v>
          </cell>
          <cell r="J129">
            <v>5</v>
          </cell>
          <cell r="K129">
            <v>5</v>
          </cell>
          <cell r="L129">
            <v>0</v>
          </cell>
          <cell r="M129">
            <v>10</v>
          </cell>
          <cell r="N129">
            <v>3.7</v>
          </cell>
          <cell r="O129">
            <v>33824.72</v>
          </cell>
          <cell r="P129">
            <v>54.7</v>
          </cell>
        </row>
        <row r="130">
          <cell r="A130">
            <v>10.001</v>
          </cell>
          <cell r="C130" t="str">
            <v>OTHER ENDOCRINE DISORDERS                                                         </v>
          </cell>
          <cell r="D130">
            <v>0</v>
          </cell>
          <cell r="E130">
            <v>2</v>
          </cell>
          <cell r="F130">
            <v>1</v>
          </cell>
          <cell r="G130">
            <v>7</v>
          </cell>
          <cell r="H130">
            <v>0</v>
          </cell>
          <cell r="I130">
            <v>10</v>
          </cell>
          <cell r="J130">
            <v>3</v>
          </cell>
          <cell r="K130">
            <v>7</v>
          </cell>
          <cell r="L130">
            <v>0</v>
          </cell>
          <cell r="M130">
            <v>10</v>
          </cell>
          <cell r="N130">
            <v>3.2</v>
          </cell>
          <cell r="O130">
            <v>15137.43</v>
          </cell>
          <cell r="P130">
            <v>65.4</v>
          </cell>
        </row>
        <row r="131">
          <cell r="A131">
            <v>10.001</v>
          </cell>
          <cell r="C131" t="str">
            <v>CHOLECYSTECTOMY EXCEPT LAPAROSCOPIC                                               </v>
          </cell>
          <cell r="D131">
            <v>0</v>
          </cell>
          <cell r="E131">
            <v>2</v>
          </cell>
          <cell r="F131">
            <v>5</v>
          </cell>
          <cell r="G131">
            <v>3</v>
          </cell>
          <cell r="H131">
            <v>0</v>
          </cell>
          <cell r="I131">
            <v>10</v>
          </cell>
          <cell r="J131">
            <v>5</v>
          </cell>
          <cell r="K131">
            <v>5</v>
          </cell>
          <cell r="L131">
            <v>0</v>
          </cell>
          <cell r="M131">
            <v>10</v>
          </cell>
          <cell r="N131">
            <v>7.7</v>
          </cell>
          <cell r="O131">
            <v>43369.94</v>
          </cell>
          <cell r="P131">
            <v>58.8</v>
          </cell>
        </row>
        <row r="132">
          <cell r="A132">
            <v>10</v>
          </cell>
          <cell r="C132" t="str">
            <v>OTHER RESPIRATORY &amp; CHEST PROCEDURES                                              </v>
          </cell>
          <cell r="D132">
            <v>0</v>
          </cell>
          <cell r="E132">
            <v>2</v>
          </cell>
          <cell r="F132">
            <v>5</v>
          </cell>
          <cell r="G132">
            <v>3</v>
          </cell>
          <cell r="H132">
            <v>0</v>
          </cell>
          <cell r="I132">
            <v>10</v>
          </cell>
          <cell r="J132">
            <v>7</v>
          </cell>
          <cell r="K132">
            <v>3</v>
          </cell>
          <cell r="L132">
            <v>0</v>
          </cell>
          <cell r="M132">
            <v>10</v>
          </cell>
          <cell r="N132">
            <v>7.7</v>
          </cell>
          <cell r="O132">
            <v>55394.03</v>
          </cell>
          <cell r="P132">
            <v>59.3</v>
          </cell>
        </row>
        <row r="133">
          <cell r="A133">
            <v>9.001</v>
          </cell>
          <cell r="C133" t="str">
            <v>ACUTE ANXIETY &amp; DELIRIUM STATES                                                   </v>
          </cell>
          <cell r="D133">
            <v>0</v>
          </cell>
          <cell r="E133">
            <v>3</v>
          </cell>
          <cell r="F133">
            <v>2</v>
          </cell>
          <cell r="G133">
            <v>4</v>
          </cell>
          <cell r="H133">
            <v>0</v>
          </cell>
          <cell r="I133">
            <v>9</v>
          </cell>
          <cell r="J133">
            <v>2</v>
          </cell>
          <cell r="K133">
            <v>7</v>
          </cell>
          <cell r="L133">
            <v>0</v>
          </cell>
          <cell r="M133">
            <v>9</v>
          </cell>
          <cell r="N133">
            <v>2.6</v>
          </cell>
          <cell r="O133">
            <v>15084.29</v>
          </cell>
          <cell r="P133">
            <v>60.2</v>
          </cell>
        </row>
        <row r="134">
          <cell r="A134">
            <v>9.001</v>
          </cell>
          <cell r="C134" t="str">
            <v>INGUINAL, FEMORAL &amp; UMBILICAL HERNIA PROCEDURES                                   </v>
          </cell>
          <cell r="D134">
            <v>0</v>
          </cell>
          <cell r="E134">
            <v>2</v>
          </cell>
          <cell r="F134">
            <v>3</v>
          </cell>
          <cell r="G134">
            <v>4</v>
          </cell>
          <cell r="H134">
            <v>0</v>
          </cell>
          <cell r="I134">
            <v>9</v>
          </cell>
          <cell r="J134">
            <v>8</v>
          </cell>
          <cell r="K134">
            <v>1</v>
          </cell>
          <cell r="L134">
            <v>0</v>
          </cell>
          <cell r="M134">
            <v>9</v>
          </cell>
          <cell r="N134">
            <v>4.3</v>
          </cell>
          <cell r="O134">
            <v>27925.57</v>
          </cell>
          <cell r="P134">
            <v>61.7</v>
          </cell>
        </row>
        <row r="135">
          <cell r="A135">
            <v>9.001</v>
          </cell>
          <cell r="C135" t="str">
            <v>OTHER SMALL &amp; LARGE BOWEL PROCEDURES                                              </v>
          </cell>
          <cell r="D135">
            <v>0</v>
          </cell>
          <cell r="E135">
            <v>2</v>
          </cell>
          <cell r="F135">
            <v>5</v>
          </cell>
          <cell r="G135">
            <v>2</v>
          </cell>
          <cell r="H135">
            <v>0</v>
          </cell>
          <cell r="I135">
            <v>9</v>
          </cell>
          <cell r="J135">
            <v>4</v>
          </cell>
          <cell r="K135">
            <v>5</v>
          </cell>
          <cell r="L135">
            <v>0</v>
          </cell>
          <cell r="M135">
            <v>9</v>
          </cell>
          <cell r="N135">
            <v>6.3</v>
          </cell>
          <cell r="O135">
            <v>37612.69</v>
          </cell>
          <cell r="P135">
            <v>55</v>
          </cell>
        </row>
        <row r="136">
          <cell r="A136">
            <v>9.001</v>
          </cell>
          <cell r="C136" t="str">
            <v>MALFUNCTION,REACTION,COMPLICATION OF CARDIAC/VASC DEVICE OR PROCEDURE             </v>
          </cell>
          <cell r="D136">
            <v>0</v>
          </cell>
          <cell r="E136">
            <v>3</v>
          </cell>
          <cell r="F136">
            <v>1</v>
          </cell>
          <cell r="G136">
            <v>5</v>
          </cell>
          <cell r="H136">
            <v>0</v>
          </cell>
          <cell r="I136">
            <v>9</v>
          </cell>
          <cell r="J136">
            <v>3</v>
          </cell>
          <cell r="K136">
            <v>6</v>
          </cell>
          <cell r="L136">
            <v>0</v>
          </cell>
          <cell r="M136">
            <v>9</v>
          </cell>
          <cell r="N136">
            <v>5.4</v>
          </cell>
          <cell r="O136">
            <v>24768.88</v>
          </cell>
          <cell r="P136">
            <v>65.2</v>
          </cell>
        </row>
        <row r="137">
          <cell r="A137">
            <v>9.001</v>
          </cell>
          <cell r="C137" t="str">
            <v>INFECTIONS OF UPPER RESPIRATORY TRACT                                             </v>
          </cell>
          <cell r="D137">
            <v>0</v>
          </cell>
          <cell r="E137">
            <v>7</v>
          </cell>
          <cell r="F137">
            <v>2</v>
          </cell>
          <cell r="G137">
            <v>0</v>
          </cell>
          <cell r="H137">
            <v>0</v>
          </cell>
          <cell r="I137">
            <v>9</v>
          </cell>
          <cell r="J137">
            <v>2</v>
          </cell>
          <cell r="K137">
            <v>7</v>
          </cell>
          <cell r="L137">
            <v>0</v>
          </cell>
          <cell r="M137">
            <v>9</v>
          </cell>
          <cell r="N137">
            <v>2.1</v>
          </cell>
          <cell r="O137">
            <v>9516.19</v>
          </cell>
          <cell r="P137">
            <v>35.1</v>
          </cell>
        </row>
        <row r="138">
          <cell r="A138">
            <v>9.001</v>
          </cell>
          <cell r="C138" t="str">
            <v>MULTIPLE SCLEROSIS &amp; OTHER DEMYELINATING DISEASES                                 </v>
          </cell>
          <cell r="D138">
            <v>0</v>
          </cell>
          <cell r="E138">
            <v>7</v>
          </cell>
          <cell r="F138">
            <v>1</v>
          </cell>
          <cell r="G138">
            <v>1</v>
          </cell>
          <cell r="H138">
            <v>0</v>
          </cell>
          <cell r="I138">
            <v>9</v>
          </cell>
          <cell r="J138">
            <v>5</v>
          </cell>
          <cell r="K138">
            <v>4</v>
          </cell>
          <cell r="L138">
            <v>0</v>
          </cell>
          <cell r="M138">
            <v>9</v>
          </cell>
          <cell r="N138">
            <v>3.6</v>
          </cell>
          <cell r="O138">
            <v>16382.63</v>
          </cell>
          <cell r="P138">
            <v>43.8</v>
          </cell>
        </row>
        <row r="139">
          <cell r="A139">
            <v>9</v>
          </cell>
          <cell r="C139" t="str">
            <v>EXTRACRANIAL VASCULAR PROCEDURES                                                  </v>
          </cell>
          <cell r="D139">
            <v>0</v>
          </cell>
          <cell r="E139">
            <v>0</v>
          </cell>
          <cell r="F139">
            <v>2</v>
          </cell>
          <cell r="G139">
            <v>7</v>
          </cell>
          <cell r="H139">
            <v>0</v>
          </cell>
          <cell r="I139">
            <v>9</v>
          </cell>
          <cell r="J139">
            <v>4</v>
          </cell>
          <cell r="K139">
            <v>5</v>
          </cell>
          <cell r="L139">
            <v>0</v>
          </cell>
          <cell r="M139">
            <v>9</v>
          </cell>
          <cell r="N139">
            <v>1</v>
          </cell>
          <cell r="O139">
            <v>15823.56</v>
          </cell>
          <cell r="P139">
            <v>72.8</v>
          </cell>
        </row>
        <row r="140">
          <cell r="A140">
            <v>8.001</v>
          </cell>
          <cell r="C140" t="str">
            <v>HIV W ONE SIGNIF HIV COND OR W/O SIGNIF RELATED COND                              </v>
          </cell>
          <cell r="D140">
            <v>0</v>
          </cell>
          <cell r="E140">
            <v>2</v>
          </cell>
          <cell r="F140">
            <v>5</v>
          </cell>
          <cell r="G140">
            <v>1</v>
          </cell>
          <cell r="H140">
            <v>0</v>
          </cell>
          <cell r="I140">
            <v>8</v>
          </cell>
          <cell r="J140">
            <v>3</v>
          </cell>
          <cell r="K140">
            <v>5</v>
          </cell>
          <cell r="L140">
            <v>0</v>
          </cell>
          <cell r="M140">
            <v>8</v>
          </cell>
          <cell r="N140">
            <v>4.9</v>
          </cell>
          <cell r="O140">
            <v>22055.97</v>
          </cell>
          <cell r="P140">
            <v>48</v>
          </cell>
        </row>
        <row r="141">
          <cell r="A141">
            <v>8.001</v>
          </cell>
          <cell r="C141" t="str">
            <v>DRUG &amp; ALCOHOL ABUSE OR DEPENDENCE, LEFT AGAINST MEDICAL ADVICE                   </v>
          </cell>
          <cell r="D141">
            <v>0</v>
          </cell>
          <cell r="E141">
            <v>4</v>
          </cell>
          <cell r="F141">
            <v>4</v>
          </cell>
          <cell r="G141">
            <v>0</v>
          </cell>
          <cell r="H141">
            <v>0</v>
          </cell>
          <cell r="I141">
            <v>8</v>
          </cell>
          <cell r="J141">
            <v>8</v>
          </cell>
          <cell r="K141">
            <v>0</v>
          </cell>
          <cell r="L141">
            <v>0</v>
          </cell>
          <cell r="M141">
            <v>8</v>
          </cell>
          <cell r="N141">
            <v>2.1</v>
          </cell>
          <cell r="O141">
            <v>12914.41</v>
          </cell>
          <cell r="P141">
            <v>47.5</v>
          </cell>
        </row>
        <row r="142">
          <cell r="A142">
            <v>8.001</v>
          </cell>
          <cell r="C142" t="str">
            <v>MASTECTOMY PROCEDURES                                                             </v>
          </cell>
          <cell r="D142">
            <v>0</v>
          </cell>
          <cell r="E142">
            <v>2</v>
          </cell>
          <cell r="F142">
            <v>5</v>
          </cell>
          <cell r="G142">
            <v>1</v>
          </cell>
          <cell r="H142">
            <v>0</v>
          </cell>
          <cell r="I142">
            <v>8</v>
          </cell>
          <cell r="J142">
            <v>0</v>
          </cell>
          <cell r="K142">
            <v>8</v>
          </cell>
          <cell r="L142">
            <v>0</v>
          </cell>
          <cell r="M142">
            <v>8</v>
          </cell>
          <cell r="N142">
            <v>2.1</v>
          </cell>
          <cell r="O142">
            <v>27295.11</v>
          </cell>
          <cell r="P142">
            <v>55.3</v>
          </cell>
        </row>
        <row r="143">
          <cell r="A143">
            <v>8.001</v>
          </cell>
          <cell r="C143" t="str">
            <v>MAJOR ESOPHAGEAL DISORDERS                                                        </v>
          </cell>
          <cell r="D143">
            <v>0</v>
          </cell>
          <cell r="E143">
            <v>5</v>
          </cell>
          <cell r="F143">
            <v>3</v>
          </cell>
          <cell r="G143">
            <v>0</v>
          </cell>
          <cell r="H143">
            <v>0</v>
          </cell>
          <cell r="I143">
            <v>8</v>
          </cell>
          <cell r="J143">
            <v>5</v>
          </cell>
          <cell r="K143">
            <v>3</v>
          </cell>
          <cell r="L143">
            <v>0</v>
          </cell>
          <cell r="M143">
            <v>8</v>
          </cell>
          <cell r="N143">
            <v>4.1</v>
          </cell>
          <cell r="O143">
            <v>22025.35</v>
          </cell>
          <cell r="P143">
            <v>38.5</v>
          </cell>
        </row>
        <row r="144">
          <cell r="A144">
            <v>8.001</v>
          </cell>
          <cell r="C144" t="str">
            <v>PERITONEAL ADHESIOLYSIS                                                           </v>
          </cell>
          <cell r="D144">
            <v>0</v>
          </cell>
          <cell r="E144">
            <v>3</v>
          </cell>
          <cell r="F144">
            <v>4</v>
          </cell>
          <cell r="G144">
            <v>1</v>
          </cell>
          <cell r="H144">
            <v>0</v>
          </cell>
          <cell r="I144">
            <v>8</v>
          </cell>
          <cell r="J144">
            <v>2</v>
          </cell>
          <cell r="K144">
            <v>6</v>
          </cell>
          <cell r="L144">
            <v>0</v>
          </cell>
          <cell r="M144">
            <v>8</v>
          </cell>
          <cell r="N144">
            <v>5.7</v>
          </cell>
          <cell r="O144">
            <v>31389.3</v>
          </cell>
          <cell r="P144">
            <v>52</v>
          </cell>
        </row>
        <row r="145">
          <cell r="A145">
            <v>8</v>
          </cell>
          <cell r="C145" t="str">
            <v>MAJOR CHEST &amp; RESPIRATORY TRAUMA                                                  </v>
          </cell>
          <cell r="D145">
            <v>0</v>
          </cell>
          <cell r="E145">
            <v>0</v>
          </cell>
          <cell r="F145">
            <v>6</v>
          </cell>
          <cell r="G145">
            <v>2</v>
          </cell>
          <cell r="H145">
            <v>0</v>
          </cell>
          <cell r="I145">
            <v>8</v>
          </cell>
          <cell r="J145">
            <v>7</v>
          </cell>
          <cell r="K145">
            <v>1</v>
          </cell>
          <cell r="L145">
            <v>0</v>
          </cell>
          <cell r="M145">
            <v>8</v>
          </cell>
          <cell r="N145">
            <v>10</v>
          </cell>
          <cell r="O145">
            <v>28898.44</v>
          </cell>
          <cell r="P145">
            <v>60.8</v>
          </cell>
        </row>
        <row r="146">
          <cell r="A146">
            <v>7.001</v>
          </cell>
          <cell r="C146" t="str">
            <v>NONEXTENSIVE PROCEDURE UNRELATED TO PRINCIPAL DIAGNOSIS                           </v>
          </cell>
          <cell r="D146">
            <v>0</v>
          </cell>
          <cell r="E146">
            <v>4</v>
          </cell>
          <cell r="F146">
            <v>1</v>
          </cell>
          <cell r="G146">
            <v>2</v>
          </cell>
          <cell r="H146">
            <v>0</v>
          </cell>
          <cell r="I146">
            <v>7</v>
          </cell>
          <cell r="J146">
            <v>2</v>
          </cell>
          <cell r="K146">
            <v>5</v>
          </cell>
          <cell r="L146">
            <v>0</v>
          </cell>
          <cell r="M146">
            <v>7</v>
          </cell>
          <cell r="N146">
            <v>5.6</v>
          </cell>
          <cell r="O146">
            <v>50334.21</v>
          </cell>
          <cell r="P146">
            <v>47</v>
          </cell>
        </row>
        <row r="147">
          <cell r="A147">
            <v>7.001</v>
          </cell>
          <cell r="C147" t="str">
            <v>ECTOPIC PREGNANCY PROCEDURE                                                       </v>
          </cell>
          <cell r="D147">
            <v>0</v>
          </cell>
          <cell r="E147">
            <v>7</v>
          </cell>
          <cell r="F147">
            <v>0</v>
          </cell>
          <cell r="G147">
            <v>0</v>
          </cell>
          <cell r="H147">
            <v>0</v>
          </cell>
          <cell r="I147">
            <v>7</v>
          </cell>
          <cell r="J147">
            <v>0</v>
          </cell>
          <cell r="K147">
            <v>7</v>
          </cell>
          <cell r="L147">
            <v>0</v>
          </cell>
          <cell r="M147">
            <v>7</v>
          </cell>
          <cell r="N147">
            <v>1.1</v>
          </cell>
          <cell r="O147">
            <v>15992.72</v>
          </cell>
          <cell r="P147">
            <v>26.3</v>
          </cell>
        </row>
        <row r="148">
          <cell r="A148">
            <v>7.001</v>
          </cell>
          <cell r="C148" t="str">
            <v>D&amp;C, ASPIRATION CURETTAGE OR HYSTEROTOMY FOR OBSTETRIC DIAGNOSES                  </v>
          </cell>
          <cell r="D148">
            <v>0</v>
          </cell>
          <cell r="E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7</v>
          </cell>
          <cell r="J148">
            <v>0</v>
          </cell>
          <cell r="K148">
            <v>7</v>
          </cell>
          <cell r="L148">
            <v>0</v>
          </cell>
          <cell r="M148">
            <v>7</v>
          </cell>
          <cell r="N148">
            <v>1.3</v>
          </cell>
          <cell r="O148">
            <v>10945.14</v>
          </cell>
          <cell r="P148">
            <v>26.9</v>
          </cell>
        </row>
        <row r="149">
          <cell r="A149">
            <v>7.001</v>
          </cell>
          <cell r="C149" t="str">
            <v>THYROID, PARATHYROID &amp; THYROGLOSSAL PROCEDURES                                    </v>
          </cell>
          <cell r="D149">
            <v>0</v>
          </cell>
          <cell r="E149">
            <v>3</v>
          </cell>
          <cell r="F149">
            <v>2</v>
          </cell>
          <cell r="G149">
            <v>2</v>
          </cell>
          <cell r="H149">
            <v>0</v>
          </cell>
          <cell r="I149">
            <v>7</v>
          </cell>
          <cell r="J149">
            <v>1</v>
          </cell>
          <cell r="K149">
            <v>6</v>
          </cell>
          <cell r="L149">
            <v>0</v>
          </cell>
          <cell r="M149">
            <v>7</v>
          </cell>
          <cell r="N149">
            <v>2.1</v>
          </cell>
          <cell r="O149">
            <v>24336.9</v>
          </cell>
          <cell r="P149">
            <v>51.6</v>
          </cell>
        </row>
        <row r="150">
          <cell r="A150">
            <v>7.001</v>
          </cell>
          <cell r="C150" t="str">
            <v>FRACTURE OF PELVIS OR DISLOCATION OF HIP                                          </v>
          </cell>
          <cell r="D150">
            <v>0</v>
          </cell>
          <cell r="E150">
            <v>0</v>
          </cell>
          <cell r="F150">
            <v>2</v>
          </cell>
          <cell r="G150">
            <v>5</v>
          </cell>
          <cell r="H150">
            <v>0</v>
          </cell>
          <cell r="I150">
            <v>7</v>
          </cell>
          <cell r="J150">
            <v>3</v>
          </cell>
          <cell r="K150">
            <v>4</v>
          </cell>
          <cell r="L150">
            <v>0</v>
          </cell>
          <cell r="M150">
            <v>7</v>
          </cell>
          <cell r="N150">
            <v>5.1</v>
          </cell>
          <cell r="O150">
            <v>16151.24</v>
          </cell>
          <cell r="P150">
            <v>76.6</v>
          </cell>
        </row>
        <row r="151">
          <cell r="A151">
            <v>7.001</v>
          </cell>
          <cell r="C151" t="str">
            <v>FRACTURE OF FEMUR                                                                 </v>
          </cell>
          <cell r="D151">
            <v>0</v>
          </cell>
          <cell r="E151">
            <v>0</v>
          </cell>
          <cell r="F151">
            <v>1</v>
          </cell>
          <cell r="G151">
            <v>6</v>
          </cell>
          <cell r="H151">
            <v>0</v>
          </cell>
          <cell r="I151">
            <v>7</v>
          </cell>
          <cell r="J151">
            <v>2</v>
          </cell>
          <cell r="K151">
            <v>5</v>
          </cell>
          <cell r="L151">
            <v>0</v>
          </cell>
          <cell r="M151">
            <v>7</v>
          </cell>
          <cell r="N151">
            <v>4.3</v>
          </cell>
          <cell r="O151">
            <v>18867.46</v>
          </cell>
          <cell r="P151">
            <v>77.3</v>
          </cell>
        </row>
        <row r="152">
          <cell r="A152">
            <v>7.001</v>
          </cell>
          <cell r="C152" t="str">
            <v>CERVICAL SPINAL FUSION &amp; OTHER BACK/NECK PROC EXC DISC EXCIS/ DECOMP              </v>
          </cell>
          <cell r="D152">
            <v>0</v>
          </cell>
          <cell r="E152">
            <v>0</v>
          </cell>
          <cell r="F152">
            <v>6</v>
          </cell>
          <cell r="G152">
            <v>1</v>
          </cell>
          <cell r="H152">
            <v>0</v>
          </cell>
          <cell r="I152">
            <v>7</v>
          </cell>
          <cell r="J152">
            <v>1</v>
          </cell>
          <cell r="K152">
            <v>6</v>
          </cell>
          <cell r="L152">
            <v>0</v>
          </cell>
          <cell r="M152">
            <v>7</v>
          </cell>
          <cell r="N152">
            <v>2.3</v>
          </cell>
          <cell r="O152">
            <v>44060.29</v>
          </cell>
          <cell r="P152">
            <v>53.3</v>
          </cell>
        </row>
        <row r="153">
          <cell r="A153">
            <v>7.001</v>
          </cell>
          <cell r="C153" t="str">
            <v>MAJOR STOMACH, ESOPHAGEAL &amp; DUODENAL PROCEDURES                                   </v>
          </cell>
          <cell r="D153">
            <v>0</v>
          </cell>
          <cell r="E153">
            <v>1</v>
          </cell>
          <cell r="F153">
            <v>3</v>
          </cell>
          <cell r="G153">
            <v>3</v>
          </cell>
          <cell r="H153">
            <v>0</v>
          </cell>
          <cell r="I153">
            <v>7</v>
          </cell>
          <cell r="J153">
            <v>2</v>
          </cell>
          <cell r="K153">
            <v>5</v>
          </cell>
          <cell r="L153">
            <v>0</v>
          </cell>
          <cell r="M153">
            <v>7</v>
          </cell>
          <cell r="N153">
            <v>9.1</v>
          </cell>
          <cell r="O153">
            <v>59180.33</v>
          </cell>
          <cell r="P153">
            <v>58</v>
          </cell>
        </row>
        <row r="154">
          <cell r="A154">
            <v>7</v>
          </cell>
          <cell r="C154" t="str">
            <v>INTERSTITIAL LUNG DISEASE                                                         </v>
          </cell>
          <cell r="D154">
            <v>0</v>
          </cell>
          <cell r="E154">
            <v>0</v>
          </cell>
          <cell r="F154">
            <v>5</v>
          </cell>
          <cell r="G154">
            <v>2</v>
          </cell>
          <cell r="H154">
            <v>0</v>
          </cell>
          <cell r="I154">
            <v>7</v>
          </cell>
          <cell r="J154">
            <v>2</v>
          </cell>
          <cell r="K154">
            <v>5</v>
          </cell>
          <cell r="L154">
            <v>0</v>
          </cell>
          <cell r="M154">
            <v>7</v>
          </cell>
          <cell r="N154">
            <v>4.7</v>
          </cell>
          <cell r="O154">
            <v>20503.38</v>
          </cell>
          <cell r="P154">
            <v>60.1</v>
          </cell>
        </row>
        <row r="155">
          <cell r="A155">
            <v>6.001</v>
          </cell>
          <cell r="C155" t="str">
            <v>OTHER DRUG ABUSE &amp; DEPENDENCE                                                     </v>
          </cell>
          <cell r="D155">
            <v>0</v>
          </cell>
          <cell r="E155">
            <v>2</v>
          </cell>
          <cell r="F155">
            <v>0</v>
          </cell>
          <cell r="G155">
            <v>4</v>
          </cell>
          <cell r="H155">
            <v>0</v>
          </cell>
          <cell r="I155">
            <v>6</v>
          </cell>
          <cell r="J155">
            <v>2</v>
          </cell>
          <cell r="K155">
            <v>4</v>
          </cell>
          <cell r="L155">
            <v>0</v>
          </cell>
          <cell r="M155">
            <v>6</v>
          </cell>
          <cell r="N155">
            <v>6</v>
          </cell>
          <cell r="O155">
            <v>18516.41</v>
          </cell>
          <cell r="P155">
            <v>63.7</v>
          </cell>
        </row>
        <row r="156">
          <cell r="A156">
            <v>6.001</v>
          </cell>
          <cell r="C156" t="str">
            <v>VIRAL ILLNESS                                                                     </v>
          </cell>
          <cell r="D156">
            <v>0</v>
          </cell>
          <cell r="E156">
            <v>1</v>
          </cell>
          <cell r="F156">
            <v>2</v>
          </cell>
          <cell r="G156">
            <v>3</v>
          </cell>
          <cell r="H156">
            <v>0</v>
          </cell>
          <cell r="I156">
            <v>6</v>
          </cell>
          <cell r="J156">
            <v>5</v>
          </cell>
          <cell r="K156">
            <v>1</v>
          </cell>
          <cell r="L156">
            <v>0</v>
          </cell>
          <cell r="M156">
            <v>6</v>
          </cell>
          <cell r="N156">
            <v>3.7</v>
          </cell>
          <cell r="O156">
            <v>15404.78</v>
          </cell>
          <cell r="P156">
            <v>63.3</v>
          </cell>
        </row>
        <row r="157">
          <cell r="A157">
            <v>6.001</v>
          </cell>
          <cell r="C157" t="str">
            <v>OTHER FEMALE REPRODUCTIVE SYSTEM &amp; RELATED PROCEDURES                             </v>
          </cell>
          <cell r="D157">
            <v>0</v>
          </cell>
          <cell r="E157">
            <v>4</v>
          </cell>
          <cell r="F157">
            <v>2</v>
          </cell>
          <cell r="G157">
            <v>0</v>
          </cell>
          <cell r="H157">
            <v>0</v>
          </cell>
          <cell r="I157">
            <v>6</v>
          </cell>
          <cell r="J157">
            <v>0</v>
          </cell>
          <cell r="K157">
            <v>6</v>
          </cell>
          <cell r="L157">
            <v>0</v>
          </cell>
          <cell r="M157">
            <v>6</v>
          </cell>
          <cell r="N157">
            <v>4.2</v>
          </cell>
          <cell r="O157">
            <v>17705.16</v>
          </cell>
          <cell r="P157">
            <v>37.3</v>
          </cell>
        </row>
        <row r="158">
          <cell r="A158">
            <v>6.001</v>
          </cell>
          <cell r="C158" t="str">
            <v>UTERINE &amp; ADNEXA PROCEDURES FOR NON-OVARIAN &amp; NON-ADNEXAL MALIG                   </v>
          </cell>
          <cell r="D158">
            <v>0</v>
          </cell>
          <cell r="E158">
            <v>0</v>
          </cell>
          <cell r="F158">
            <v>3</v>
          </cell>
          <cell r="G158">
            <v>3</v>
          </cell>
          <cell r="H158">
            <v>0</v>
          </cell>
          <cell r="I158">
            <v>6</v>
          </cell>
          <cell r="J158">
            <v>0</v>
          </cell>
          <cell r="K158">
            <v>6</v>
          </cell>
          <cell r="L158">
            <v>0</v>
          </cell>
          <cell r="M158">
            <v>6</v>
          </cell>
          <cell r="N158">
            <v>2</v>
          </cell>
          <cell r="O158">
            <v>26503.81</v>
          </cell>
          <cell r="P158">
            <v>68.5</v>
          </cell>
        </row>
        <row r="159">
          <cell r="A159">
            <v>6.001</v>
          </cell>
          <cell r="C159" t="str">
            <v>TRANSURETHRAL PROSTATECTOMY                                                       </v>
          </cell>
          <cell r="D159">
            <v>0</v>
          </cell>
          <cell r="E159">
            <v>0</v>
          </cell>
          <cell r="F159">
            <v>4</v>
          </cell>
          <cell r="G159">
            <v>2</v>
          </cell>
          <cell r="H159">
            <v>0</v>
          </cell>
          <cell r="I159">
            <v>6</v>
          </cell>
          <cell r="J159">
            <v>6</v>
          </cell>
          <cell r="K159">
            <v>0</v>
          </cell>
          <cell r="L159">
            <v>0</v>
          </cell>
          <cell r="M159">
            <v>6</v>
          </cell>
          <cell r="N159">
            <v>2.7</v>
          </cell>
          <cell r="O159">
            <v>21838.64</v>
          </cell>
          <cell r="P159">
            <v>64.5</v>
          </cell>
        </row>
        <row r="160">
          <cell r="A160">
            <v>6.001</v>
          </cell>
          <cell r="C160" t="str">
            <v>MAJOR SKIN DISORDERS                                                              </v>
          </cell>
          <cell r="D160">
            <v>0</v>
          </cell>
          <cell r="E160">
            <v>3</v>
          </cell>
          <cell r="F160">
            <v>0</v>
          </cell>
          <cell r="G160">
            <v>3</v>
          </cell>
          <cell r="H160">
            <v>0</v>
          </cell>
          <cell r="I160">
            <v>6</v>
          </cell>
          <cell r="J160">
            <v>2</v>
          </cell>
          <cell r="K160">
            <v>4</v>
          </cell>
          <cell r="L160">
            <v>0</v>
          </cell>
          <cell r="M160">
            <v>6</v>
          </cell>
          <cell r="N160">
            <v>3.2</v>
          </cell>
          <cell r="O160">
            <v>11895.57</v>
          </cell>
          <cell r="P160">
            <v>50.5</v>
          </cell>
        </row>
        <row r="161">
          <cell r="A161">
            <v>6.001</v>
          </cell>
          <cell r="C161" t="str">
            <v>CONNECTIVE TISSUE DISORDERS                                                       </v>
          </cell>
          <cell r="D161">
            <v>0</v>
          </cell>
          <cell r="E161">
            <v>4</v>
          </cell>
          <cell r="F161">
            <v>0</v>
          </cell>
          <cell r="G161">
            <v>2</v>
          </cell>
          <cell r="H161">
            <v>0</v>
          </cell>
          <cell r="I161">
            <v>6</v>
          </cell>
          <cell r="J161">
            <v>1</v>
          </cell>
          <cell r="K161">
            <v>5</v>
          </cell>
          <cell r="L161">
            <v>0</v>
          </cell>
          <cell r="M161">
            <v>6</v>
          </cell>
          <cell r="N161">
            <v>5.7</v>
          </cell>
          <cell r="O161">
            <v>22231.32</v>
          </cell>
          <cell r="P161">
            <v>42.5</v>
          </cell>
        </row>
        <row r="162">
          <cell r="A162">
            <v>6.001</v>
          </cell>
          <cell r="C162" t="str">
            <v>TENDON, MUSCLE &amp; OTHER SOFT TISSUE PROCEDURES                                     </v>
          </cell>
          <cell r="D162">
            <v>0</v>
          </cell>
          <cell r="E162">
            <v>1</v>
          </cell>
          <cell r="F162">
            <v>4</v>
          </cell>
          <cell r="G162">
            <v>1</v>
          </cell>
          <cell r="H162">
            <v>0</v>
          </cell>
          <cell r="I162">
            <v>6</v>
          </cell>
          <cell r="J162">
            <v>1</v>
          </cell>
          <cell r="K162">
            <v>5</v>
          </cell>
          <cell r="L162">
            <v>0</v>
          </cell>
          <cell r="M162">
            <v>6</v>
          </cell>
          <cell r="N162">
            <v>8.8</v>
          </cell>
          <cell r="O162">
            <v>44894.65</v>
          </cell>
          <cell r="P162">
            <v>56.7</v>
          </cell>
        </row>
        <row r="163">
          <cell r="A163">
            <v>6.001</v>
          </cell>
          <cell r="C163" t="str">
            <v>AMPUTATION OF LOWER LIMB EXCEPT TOES                                              </v>
          </cell>
          <cell r="D163">
            <v>0</v>
          </cell>
          <cell r="E163">
            <v>0</v>
          </cell>
          <cell r="F163">
            <v>3</v>
          </cell>
          <cell r="G163">
            <v>3</v>
          </cell>
          <cell r="H163">
            <v>0</v>
          </cell>
          <cell r="I163">
            <v>6</v>
          </cell>
          <cell r="J163">
            <v>4</v>
          </cell>
          <cell r="K163">
            <v>2</v>
          </cell>
          <cell r="L163">
            <v>0</v>
          </cell>
          <cell r="M163">
            <v>6</v>
          </cell>
          <cell r="N163">
            <v>17.7</v>
          </cell>
          <cell r="O163">
            <v>65602.78</v>
          </cell>
          <cell r="P163">
            <v>70.7</v>
          </cell>
        </row>
        <row r="164">
          <cell r="A164">
            <v>6.001</v>
          </cell>
          <cell r="C164" t="str">
            <v>MALIGNANCY OF HEPATOBILIARY SYSTEM &amp; PANCREAS                                     </v>
          </cell>
          <cell r="D164">
            <v>0</v>
          </cell>
          <cell r="E164">
            <v>0</v>
          </cell>
          <cell r="F164">
            <v>3</v>
          </cell>
          <cell r="G164">
            <v>3</v>
          </cell>
          <cell r="H164">
            <v>0</v>
          </cell>
          <cell r="I164">
            <v>6</v>
          </cell>
          <cell r="J164">
            <v>4</v>
          </cell>
          <cell r="K164">
            <v>2</v>
          </cell>
          <cell r="L164">
            <v>0</v>
          </cell>
          <cell r="M164">
            <v>6</v>
          </cell>
          <cell r="N164">
            <v>5.3</v>
          </cell>
          <cell r="O164">
            <v>26075.39</v>
          </cell>
          <cell r="P164">
            <v>63</v>
          </cell>
        </row>
        <row r="165">
          <cell r="A165">
            <v>6.001</v>
          </cell>
          <cell r="C165" t="str">
            <v>GASTROINTESTINAL VASCULAR INSUFFICIENCY                                           </v>
          </cell>
          <cell r="D165">
            <v>0</v>
          </cell>
          <cell r="E165">
            <v>0</v>
          </cell>
          <cell r="F165">
            <v>1</v>
          </cell>
          <cell r="G165">
            <v>5</v>
          </cell>
          <cell r="H165">
            <v>0</v>
          </cell>
          <cell r="I165">
            <v>6</v>
          </cell>
          <cell r="J165">
            <v>0</v>
          </cell>
          <cell r="K165">
            <v>6</v>
          </cell>
          <cell r="L165">
            <v>0</v>
          </cell>
          <cell r="M165">
            <v>6</v>
          </cell>
          <cell r="N165">
            <v>5.8</v>
          </cell>
          <cell r="O165">
            <v>24035.61</v>
          </cell>
          <cell r="P165">
            <v>75.7</v>
          </cell>
        </row>
        <row r="166">
          <cell r="A166">
            <v>6.001</v>
          </cell>
          <cell r="C166" t="str">
            <v>CARDIAC STRUCTURAL &amp; VALVULAR DISORDERS                                           </v>
          </cell>
          <cell r="D166">
            <v>0</v>
          </cell>
          <cell r="E166">
            <v>1</v>
          </cell>
          <cell r="F166">
            <v>1</v>
          </cell>
          <cell r="G166">
            <v>4</v>
          </cell>
          <cell r="H166">
            <v>0</v>
          </cell>
          <cell r="I166">
            <v>6</v>
          </cell>
          <cell r="J166">
            <v>3</v>
          </cell>
          <cell r="K166">
            <v>3</v>
          </cell>
          <cell r="L166">
            <v>0</v>
          </cell>
          <cell r="M166">
            <v>6</v>
          </cell>
          <cell r="N166">
            <v>4.2</v>
          </cell>
          <cell r="O166">
            <v>17985.67</v>
          </cell>
          <cell r="P166">
            <v>76.2</v>
          </cell>
        </row>
        <row r="167">
          <cell r="A167">
            <v>6.001</v>
          </cell>
          <cell r="C167" t="str">
            <v>CORONARY BYPASS W/O CARDIAC CATH OR PERCUTANEOUS CARDIAC PROCEDURE                </v>
          </cell>
          <cell r="D167">
            <v>0</v>
          </cell>
          <cell r="E167">
            <v>0</v>
          </cell>
          <cell r="F167">
            <v>1</v>
          </cell>
          <cell r="G167">
            <v>5</v>
          </cell>
          <cell r="H167">
            <v>0</v>
          </cell>
          <cell r="I167">
            <v>6</v>
          </cell>
          <cell r="J167">
            <v>4</v>
          </cell>
          <cell r="K167">
            <v>2</v>
          </cell>
          <cell r="L167">
            <v>0</v>
          </cell>
          <cell r="M167">
            <v>6</v>
          </cell>
          <cell r="N167">
            <v>6.7</v>
          </cell>
          <cell r="O167">
            <v>81381.65</v>
          </cell>
          <cell r="P167">
            <v>65.8</v>
          </cell>
        </row>
        <row r="168">
          <cell r="A168">
            <v>6.001</v>
          </cell>
          <cell r="C168" t="str">
            <v>MAJOR RESPIRATORY &amp; CHEST PROCEDURES                                              </v>
          </cell>
          <cell r="D168">
            <v>0</v>
          </cell>
          <cell r="E168">
            <v>1</v>
          </cell>
          <cell r="F168">
            <v>2</v>
          </cell>
          <cell r="G168">
            <v>3</v>
          </cell>
          <cell r="H168">
            <v>0</v>
          </cell>
          <cell r="I168">
            <v>6</v>
          </cell>
          <cell r="J168">
            <v>2</v>
          </cell>
          <cell r="K168">
            <v>4</v>
          </cell>
          <cell r="L168">
            <v>0</v>
          </cell>
          <cell r="M168">
            <v>6</v>
          </cell>
          <cell r="N168">
            <v>11.2</v>
          </cell>
          <cell r="O168">
            <v>87805.13</v>
          </cell>
          <cell r="P168">
            <v>63</v>
          </cell>
        </row>
        <row r="169">
          <cell r="A169">
            <v>6</v>
          </cell>
          <cell r="C169" t="str">
            <v>TRACHEOSTOMY W LONG TERM MECHANICAL VENTILATION W/O EXTENSIVE PROCEDURE           </v>
          </cell>
          <cell r="D169">
            <v>0</v>
          </cell>
          <cell r="E169">
            <v>1</v>
          </cell>
          <cell r="F169">
            <v>2</v>
          </cell>
          <cell r="G169">
            <v>3</v>
          </cell>
          <cell r="H169">
            <v>0</v>
          </cell>
          <cell r="I169">
            <v>6</v>
          </cell>
          <cell r="J169">
            <v>2</v>
          </cell>
          <cell r="K169">
            <v>4</v>
          </cell>
          <cell r="L169">
            <v>0</v>
          </cell>
          <cell r="M169">
            <v>6</v>
          </cell>
          <cell r="N169">
            <v>26.2</v>
          </cell>
          <cell r="O169">
            <v>158984.04</v>
          </cell>
          <cell r="P169">
            <v>58.8</v>
          </cell>
        </row>
        <row r="170">
          <cell r="A170">
            <v>5.001</v>
          </cell>
          <cell r="C170" t="str">
            <v>OTHER DIGESTIVE SYSTEM &amp; ABDOMINAL PROCEDURES                                     </v>
          </cell>
          <cell r="D170">
            <v>0</v>
          </cell>
          <cell r="E170">
            <v>0</v>
          </cell>
          <cell r="F170">
            <v>2</v>
          </cell>
          <cell r="G170">
            <v>3</v>
          </cell>
          <cell r="H170">
            <v>0</v>
          </cell>
          <cell r="I170">
            <v>5</v>
          </cell>
          <cell r="J170">
            <v>2</v>
          </cell>
          <cell r="K170">
            <v>3</v>
          </cell>
          <cell r="L170">
            <v>0</v>
          </cell>
          <cell r="M170">
            <v>5</v>
          </cell>
          <cell r="N170">
            <v>11</v>
          </cell>
          <cell r="O170">
            <v>70001.57</v>
          </cell>
          <cell r="P170">
            <v>67.6</v>
          </cell>
        </row>
        <row r="171">
          <cell r="A171">
            <v>5.001</v>
          </cell>
          <cell r="C171" t="str">
            <v>CARDIAC ARREST                                                                    </v>
          </cell>
          <cell r="D171">
            <v>0</v>
          </cell>
          <cell r="E171">
            <v>0</v>
          </cell>
          <cell r="F171">
            <v>0</v>
          </cell>
          <cell r="G171">
            <v>5</v>
          </cell>
          <cell r="H171">
            <v>0</v>
          </cell>
          <cell r="I171">
            <v>5</v>
          </cell>
          <cell r="J171">
            <v>1</v>
          </cell>
          <cell r="K171">
            <v>4</v>
          </cell>
          <cell r="L171">
            <v>0</v>
          </cell>
          <cell r="M171">
            <v>5</v>
          </cell>
          <cell r="N171">
            <v>3.2</v>
          </cell>
          <cell r="O171">
            <v>11345.64</v>
          </cell>
          <cell r="P171">
            <v>75.6</v>
          </cell>
        </row>
        <row r="172">
          <cell r="A172">
            <v>5.001</v>
          </cell>
          <cell r="C172" t="str">
            <v>OTHER CIRCULATORY SYSTEM PROCEDURES                                               </v>
          </cell>
          <cell r="D172">
            <v>0</v>
          </cell>
          <cell r="E172">
            <v>0</v>
          </cell>
          <cell r="F172">
            <v>3</v>
          </cell>
          <cell r="G172">
            <v>2</v>
          </cell>
          <cell r="H172">
            <v>0</v>
          </cell>
          <cell r="I172">
            <v>5</v>
          </cell>
          <cell r="J172">
            <v>1</v>
          </cell>
          <cell r="K172">
            <v>4</v>
          </cell>
          <cell r="L172">
            <v>0</v>
          </cell>
          <cell r="M172">
            <v>5</v>
          </cell>
          <cell r="N172">
            <v>11</v>
          </cell>
          <cell r="O172">
            <v>88315.36</v>
          </cell>
          <cell r="P172">
            <v>66.4</v>
          </cell>
        </row>
        <row r="173">
          <cell r="A173">
            <v>5</v>
          </cell>
          <cell r="C173" t="str">
            <v>INTRACRANIAL HEMORRHAGE                                                           </v>
          </cell>
          <cell r="D173">
            <v>0</v>
          </cell>
          <cell r="E173">
            <v>0</v>
          </cell>
          <cell r="F173">
            <v>1</v>
          </cell>
          <cell r="G173">
            <v>4</v>
          </cell>
          <cell r="H173">
            <v>0</v>
          </cell>
          <cell r="I173">
            <v>5</v>
          </cell>
          <cell r="J173">
            <v>3</v>
          </cell>
          <cell r="K173">
            <v>2</v>
          </cell>
          <cell r="L173">
            <v>0</v>
          </cell>
          <cell r="M173">
            <v>5</v>
          </cell>
          <cell r="N173">
            <v>6.6</v>
          </cell>
          <cell r="O173">
            <v>24710.85</v>
          </cell>
          <cell r="P173">
            <v>78.4</v>
          </cell>
        </row>
        <row r="174">
          <cell r="A174">
            <v>4.001</v>
          </cell>
          <cell r="C174" t="str">
            <v>HIV W MAJOR HIV RELATED CONDITION                                                 </v>
          </cell>
          <cell r="D174">
            <v>0</v>
          </cell>
          <cell r="E174">
            <v>3</v>
          </cell>
          <cell r="F174">
            <v>0</v>
          </cell>
          <cell r="G174">
            <v>1</v>
          </cell>
          <cell r="H174">
            <v>0</v>
          </cell>
          <cell r="I174">
            <v>4</v>
          </cell>
          <cell r="J174">
            <v>1</v>
          </cell>
          <cell r="K174">
            <v>3</v>
          </cell>
          <cell r="L174">
            <v>0</v>
          </cell>
          <cell r="M174">
            <v>4</v>
          </cell>
          <cell r="N174">
            <v>4.5</v>
          </cell>
          <cell r="O174">
            <v>23235.39</v>
          </cell>
          <cell r="P174">
            <v>46.8</v>
          </cell>
        </row>
        <row r="175">
          <cell r="A175">
            <v>4.001</v>
          </cell>
          <cell r="C175" t="str">
            <v>FEVER                                                                             </v>
          </cell>
          <cell r="D175">
            <v>0</v>
          </cell>
          <cell r="E175">
            <v>1</v>
          </cell>
          <cell r="F175">
            <v>1</v>
          </cell>
          <cell r="G175">
            <v>2</v>
          </cell>
          <cell r="H175">
            <v>0</v>
          </cell>
          <cell r="I175">
            <v>4</v>
          </cell>
          <cell r="J175">
            <v>3</v>
          </cell>
          <cell r="K175">
            <v>1</v>
          </cell>
          <cell r="L175">
            <v>0</v>
          </cell>
          <cell r="M175">
            <v>4</v>
          </cell>
          <cell r="N175">
            <v>2</v>
          </cell>
          <cell r="O175">
            <v>9008.19</v>
          </cell>
          <cell r="P175">
            <v>59.3</v>
          </cell>
        </row>
        <row r="176">
          <cell r="A176">
            <v>4.001</v>
          </cell>
          <cell r="C176" t="str">
            <v>LYMPHATIC &amp; OTHER MALIGNANCIES &amp; NEOPLASMS OF UNCERTAIN BEHAVIOR                  </v>
          </cell>
          <cell r="D176">
            <v>0</v>
          </cell>
          <cell r="E176">
            <v>0</v>
          </cell>
          <cell r="F176">
            <v>0</v>
          </cell>
          <cell r="G176">
            <v>4</v>
          </cell>
          <cell r="H176">
            <v>0</v>
          </cell>
          <cell r="I176">
            <v>4</v>
          </cell>
          <cell r="J176">
            <v>1</v>
          </cell>
          <cell r="K176">
            <v>3</v>
          </cell>
          <cell r="L176">
            <v>0</v>
          </cell>
          <cell r="M176">
            <v>4</v>
          </cell>
          <cell r="N176">
            <v>5.5</v>
          </cell>
          <cell r="O176">
            <v>25912.55</v>
          </cell>
          <cell r="P176">
            <v>78</v>
          </cell>
        </row>
        <row r="177">
          <cell r="A177">
            <v>4.001</v>
          </cell>
          <cell r="C177" t="str">
            <v>LYMPHOMA, MYELOMA &amp; NON-ACUTE LEUKEMIA                                            </v>
          </cell>
          <cell r="D177">
            <v>0</v>
          </cell>
          <cell r="E177">
            <v>0</v>
          </cell>
          <cell r="F177">
            <v>0</v>
          </cell>
          <cell r="G177">
            <v>4</v>
          </cell>
          <cell r="H177">
            <v>0</v>
          </cell>
          <cell r="I177">
            <v>4</v>
          </cell>
          <cell r="J177">
            <v>3</v>
          </cell>
          <cell r="K177">
            <v>1</v>
          </cell>
          <cell r="L177">
            <v>0</v>
          </cell>
          <cell r="M177">
            <v>4</v>
          </cell>
          <cell r="N177">
            <v>6.8</v>
          </cell>
          <cell r="O177">
            <v>30844.01</v>
          </cell>
          <cell r="P177">
            <v>77.8</v>
          </cell>
        </row>
        <row r="178">
          <cell r="A178">
            <v>4.001</v>
          </cell>
          <cell r="C178" t="str">
            <v>OTHER O.R. PROCEDURES FOR LYMPHATIC/HEMATOPOIETIC/OTHER NEOPLASMS                 </v>
          </cell>
          <cell r="D178">
            <v>0</v>
          </cell>
          <cell r="E178">
            <v>0</v>
          </cell>
          <cell r="F178">
            <v>0</v>
          </cell>
          <cell r="G178">
            <v>4</v>
          </cell>
          <cell r="H178">
            <v>0</v>
          </cell>
          <cell r="I178">
            <v>4</v>
          </cell>
          <cell r="J178">
            <v>2</v>
          </cell>
          <cell r="K178">
            <v>2</v>
          </cell>
          <cell r="L178">
            <v>0</v>
          </cell>
          <cell r="M178">
            <v>4</v>
          </cell>
          <cell r="N178">
            <v>9.5</v>
          </cell>
          <cell r="O178">
            <v>55988.23</v>
          </cell>
          <cell r="P178">
            <v>77.8</v>
          </cell>
        </row>
        <row r="179">
          <cell r="A179">
            <v>4.001</v>
          </cell>
          <cell r="C179" t="str">
            <v>NEONATE, BIRTHWT &gt;2499G W RESP DIST SYND/OTH MAJ RESP COND                        </v>
          </cell>
          <cell r="D179">
            <v>4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4</v>
          </cell>
          <cell r="J179">
            <v>1</v>
          </cell>
          <cell r="K179">
            <v>3</v>
          </cell>
          <cell r="L179">
            <v>0</v>
          </cell>
          <cell r="M179">
            <v>4</v>
          </cell>
          <cell r="N179">
            <v>7.8</v>
          </cell>
          <cell r="O179">
            <v>10409.36</v>
          </cell>
          <cell r="P179">
            <v>0</v>
          </cell>
        </row>
        <row r="180">
          <cell r="A180">
            <v>4.001</v>
          </cell>
          <cell r="C180" t="str">
            <v>ABORTION W/O D&amp;C, ASPIRATION CURETTAGE OR HYSTEROTOMY                             </v>
          </cell>
          <cell r="D180">
            <v>0</v>
          </cell>
          <cell r="E180">
            <v>4</v>
          </cell>
          <cell r="F180">
            <v>0</v>
          </cell>
          <cell r="G180">
            <v>0</v>
          </cell>
          <cell r="H180">
            <v>0</v>
          </cell>
          <cell r="I180">
            <v>4</v>
          </cell>
          <cell r="J180">
            <v>0</v>
          </cell>
          <cell r="K180">
            <v>4</v>
          </cell>
          <cell r="L180">
            <v>0</v>
          </cell>
          <cell r="M180">
            <v>4</v>
          </cell>
          <cell r="N180">
            <v>1.8</v>
          </cell>
          <cell r="O180">
            <v>8033.83</v>
          </cell>
          <cell r="P180">
            <v>26.8</v>
          </cell>
        </row>
        <row r="181">
          <cell r="A181">
            <v>4.001</v>
          </cell>
          <cell r="C181" t="str">
            <v>MALNUTRITION, FAILURE TO THRIVE &amp; OTHER NUTRITIONAL DISORDERS                     </v>
          </cell>
          <cell r="D181">
            <v>0</v>
          </cell>
          <cell r="E181">
            <v>1</v>
          </cell>
          <cell r="F181">
            <v>2</v>
          </cell>
          <cell r="G181">
            <v>1</v>
          </cell>
          <cell r="H181">
            <v>0</v>
          </cell>
          <cell r="I181">
            <v>4</v>
          </cell>
          <cell r="J181">
            <v>1</v>
          </cell>
          <cell r="K181">
            <v>3</v>
          </cell>
          <cell r="L181">
            <v>0</v>
          </cell>
          <cell r="M181">
            <v>4</v>
          </cell>
          <cell r="N181">
            <v>3.3</v>
          </cell>
          <cell r="O181">
            <v>21628.94</v>
          </cell>
          <cell r="P181">
            <v>55.8</v>
          </cell>
        </row>
        <row r="182">
          <cell r="A182">
            <v>4.001</v>
          </cell>
          <cell r="C182" t="str">
            <v>MALFUNCTION, REACTION, COMPLIC OF ORTHOPEDIC DEVICE OR PROCEDURE                  </v>
          </cell>
          <cell r="D182">
            <v>0</v>
          </cell>
          <cell r="E182">
            <v>0</v>
          </cell>
          <cell r="F182">
            <v>1</v>
          </cell>
          <cell r="G182">
            <v>3</v>
          </cell>
          <cell r="H182">
            <v>0</v>
          </cell>
          <cell r="I182">
            <v>4</v>
          </cell>
          <cell r="J182">
            <v>1</v>
          </cell>
          <cell r="K182">
            <v>3</v>
          </cell>
          <cell r="L182">
            <v>0</v>
          </cell>
          <cell r="M182">
            <v>4</v>
          </cell>
          <cell r="N182">
            <v>4</v>
          </cell>
          <cell r="O182">
            <v>15333.44</v>
          </cell>
          <cell r="P182">
            <v>74</v>
          </cell>
        </row>
        <row r="183">
          <cell r="A183">
            <v>4.001</v>
          </cell>
          <cell r="C183" t="str">
            <v>OSTEOMYELITIS, SEPTIC ARTHRITIS &amp; OTHER MUSCULOSKELETAL INFECTIONS                </v>
          </cell>
          <cell r="D183">
            <v>0</v>
          </cell>
          <cell r="E183">
            <v>1</v>
          </cell>
          <cell r="F183">
            <v>0</v>
          </cell>
          <cell r="G183">
            <v>3</v>
          </cell>
          <cell r="H183">
            <v>0</v>
          </cell>
          <cell r="I183">
            <v>4</v>
          </cell>
          <cell r="J183">
            <v>4</v>
          </cell>
          <cell r="K183">
            <v>0</v>
          </cell>
          <cell r="L183">
            <v>0</v>
          </cell>
          <cell r="M183">
            <v>4</v>
          </cell>
          <cell r="N183">
            <v>5.8</v>
          </cell>
          <cell r="O183">
            <v>21281.96</v>
          </cell>
          <cell r="P183">
            <v>73</v>
          </cell>
        </row>
        <row r="184">
          <cell r="A184">
            <v>4.001</v>
          </cell>
          <cell r="C184" t="str">
            <v>CARDIOMYOPATHY                                                                    </v>
          </cell>
          <cell r="D184">
            <v>0</v>
          </cell>
          <cell r="E184">
            <v>1</v>
          </cell>
          <cell r="F184">
            <v>1</v>
          </cell>
          <cell r="G184">
            <v>2</v>
          </cell>
          <cell r="H184">
            <v>0</v>
          </cell>
          <cell r="I184">
            <v>4</v>
          </cell>
          <cell r="J184">
            <v>2</v>
          </cell>
          <cell r="K184">
            <v>2</v>
          </cell>
          <cell r="L184">
            <v>0</v>
          </cell>
          <cell r="M184">
            <v>4</v>
          </cell>
          <cell r="N184">
            <v>2.8</v>
          </cell>
          <cell r="O184">
            <v>16194.06</v>
          </cell>
          <cell r="P184">
            <v>63.3</v>
          </cell>
        </row>
        <row r="185">
          <cell r="A185">
            <v>4.001</v>
          </cell>
          <cell r="C185" t="str">
            <v>MAJOR THORACIC &amp; ABDOMINAL VASCULAR PROCEDURES                                    </v>
          </cell>
          <cell r="D185">
            <v>0</v>
          </cell>
          <cell r="E185">
            <v>0</v>
          </cell>
          <cell r="F185">
            <v>1</v>
          </cell>
          <cell r="G185">
            <v>3</v>
          </cell>
          <cell r="H185">
            <v>0</v>
          </cell>
          <cell r="I185">
            <v>4</v>
          </cell>
          <cell r="J185">
            <v>3</v>
          </cell>
          <cell r="K185">
            <v>1</v>
          </cell>
          <cell r="L185">
            <v>0</v>
          </cell>
          <cell r="M185">
            <v>4</v>
          </cell>
          <cell r="N185">
            <v>7.8</v>
          </cell>
          <cell r="O185">
            <v>80713.49</v>
          </cell>
          <cell r="P185">
            <v>72</v>
          </cell>
        </row>
        <row r="186">
          <cell r="A186">
            <v>4.001</v>
          </cell>
          <cell r="C186" t="str">
            <v>VIRAL MENINGITIS                                                                  </v>
          </cell>
          <cell r="D186">
            <v>0</v>
          </cell>
          <cell r="E186">
            <v>1</v>
          </cell>
          <cell r="F186">
            <v>3</v>
          </cell>
          <cell r="G186">
            <v>0</v>
          </cell>
          <cell r="H186">
            <v>0</v>
          </cell>
          <cell r="I186">
            <v>4</v>
          </cell>
          <cell r="J186">
            <v>1</v>
          </cell>
          <cell r="K186">
            <v>3</v>
          </cell>
          <cell r="L186">
            <v>0</v>
          </cell>
          <cell r="M186">
            <v>4</v>
          </cell>
          <cell r="N186">
            <v>3.8</v>
          </cell>
          <cell r="O186">
            <v>14195.81</v>
          </cell>
          <cell r="P186">
            <v>45</v>
          </cell>
        </row>
        <row r="187">
          <cell r="A187">
            <v>4</v>
          </cell>
          <cell r="C187" t="str">
            <v>SPINAL DISORDERS &amp; INJURIES                                                       </v>
          </cell>
          <cell r="D187">
            <v>0</v>
          </cell>
          <cell r="E187">
            <v>0</v>
          </cell>
          <cell r="F187">
            <v>3</v>
          </cell>
          <cell r="G187">
            <v>1</v>
          </cell>
          <cell r="H187">
            <v>0</v>
          </cell>
          <cell r="I187">
            <v>4</v>
          </cell>
          <cell r="J187">
            <v>1</v>
          </cell>
          <cell r="K187">
            <v>3</v>
          </cell>
          <cell r="L187">
            <v>0</v>
          </cell>
          <cell r="M187">
            <v>4</v>
          </cell>
          <cell r="N187">
            <v>5.3</v>
          </cell>
          <cell r="O187">
            <v>19512.77</v>
          </cell>
          <cell r="P187">
            <v>58.3</v>
          </cell>
        </row>
        <row r="188">
          <cell r="A188">
            <v>3.001</v>
          </cell>
          <cell r="C188" t="str">
            <v>HIV W MULTIPLE MAJOR HIV RELATED CONDITIONS                                       </v>
          </cell>
          <cell r="D188">
            <v>0</v>
          </cell>
          <cell r="E188">
            <v>0</v>
          </cell>
          <cell r="F188">
            <v>3</v>
          </cell>
          <cell r="G188">
            <v>0</v>
          </cell>
          <cell r="H188">
            <v>0</v>
          </cell>
          <cell r="I188">
            <v>3</v>
          </cell>
          <cell r="J188">
            <v>3</v>
          </cell>
          <cell r="K188">
            <v>0</v>
          </cell>
          <cell r="L188">
            <v>0</v>
          </cell>
          <cell r="M188">
            <v>3</v>
          </cell>
          <cell r="N188">
            <v>9.3</v>
          </cell>
          <cell r="O188">
            <v>39694.45</v>
          </cell>
          <cell r="P188">
            <v>52.3</v>
          </cell>
        </row>
        <row r="189">
          <cell r="A189">
            <v>3.001</v>
          </cell>
          <cell r="C189" t="str">
            <v>SCHIZOPHRENIA                                                                     </v>
          </cell>
          <cell r="D189">
            <v>0</v>
          </cell>
          <cell r="E189">
            <v>1</v>
          </cell>
          <cell r="F189">
            <v>2</v>
          </cell>
          <cell r="G189">
            <v>0</v>
          </cell>
          <cell r="H189">
            <v>0</v>
          </cell>
          <cell r="I189">
            <v>3</v>
          </cell>
          <cell r="J189">
            <v>1</v>
          </cell>
          <cell r="K189">
            <v>2</v>
          </cell>
          <cell r="L189">
            <v>0</v>
          </cell>
          <cell r="M189">
            <v>3</v>
          </cell>
          <cell r="N189">
            <v>1.7</v>
          </cell>
          <cell r="O189">
            <v>8890.36</v>
          </cell>
          <cell r="P189">
            <v>44.3</v>
          </cell>
        </row>
        <row r="190">
          <cell r="A190">
            <v>3.001</v>
          </cell>
          <cell r="C190" t="str">
            <v>MAJOR HEMATOLOGIC/IMMUNOLOGIC DIAG EXC SICKLE CELL CRISIS &amp; COAGUL                </v>
          </cell>
          <cell r="D190">
            <v>0</v>
          </cell>
          <cell r="E190">
            <v>0</v>
          </cell>
          <cell r="F190">
            <v>2</v>
          </cell>
          <cell r="G190">
            <v>1</v>
          </cell>
          <cell r="H190">
            <v>0</v>
          </cell>
          <cell r="I190">
            <v>3</v>
          </cell>
          <cell r="J190">
            <v>2</v>
          </cell>
          <cell r="K190">
            <v>1</v>
          </cell>
          <cell r="L190">
            <v>0</v>
          </cell>
          <cell r="M190">
            <v>3</v>
          </cell>
          <cell r="N190">
            <v>3</v>
          </cell>
          <cell r="O190">
            <v>12191.86</v>
          </cell>
          <cell r="P190">
            <v>64</v>
          </cell>
        </row>
        <row r="191">
          <cell r="A191">
            <v>3.001</v>
          </cell>
          <cell r="C191" t="str">
            <v>NEONATE BIRTHWT &gt;2499G W MAJOR ANOMALY                                            </v>
          </cell>
          <cell r="D191">
            <v>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3</v>
          </cell>
          <cell r="J191">
            <v>1</v>
          </cell>
          <cell r="K191">
            <v>2</v>
          </cell>
          <cell r="L191">
            <v>0</v>
          </cell>
          <cell r="M191">
            <v>3</v>
          </cell>
          <cell r="N191">
            <v>2</v>
          </cell>
          <cell r="O191">
            <v>2728.05</v>
          </cell>
          <cell r="P191">
            <v>0</v>
          </cell>
        </row>
        <row r="192">
          <cell r="A192">
            <v>3.001</v>
          </cell>
          <cell r="C192" t="str">
            <v>FEMALE REPRODUCTIVE SYSTEM MALIGNANCY                                             </v>
          </cell>
          <cell r="D192">
            <v>0</v>
          </cell>
          <cell r="E192">
            <v>0</v>
          </cell>
          <cell r="F192">
            <v>2</v>
          </cell>
          <cell r="G192">
            <v>1</v>
          </cell>
          <cell r="H192">
            <v>0</v>
          </cell>
          <cell r="I192">
            <v>3</v>
          </cell>
          <cell r="J192">
            <v>0</v>
          </cell>
          <cell r="K192">
            <v>3</v>
          </cell>
          <cell r="L192">
            <v>0</v>
          </cell>
          <cell r="M192">
            <v>3</v>
          </cell>
          <cell r="N192">
            <v>1.7</v>
          </cell>
          <cell r="O192">
            <v>8832.12</v>
          </cell>
          <cell r="P192">
            <v>62.3</v>
          </cell>
        </row>
        <row r="193">
          <cell r="A193">
            <v>3.001</v>
          </cell>
          <cell r="C193" t="str">
            <v>TESTES &amp; SCROTAL PROCEDURES                                                       </v>
          </cell>
          <cell r="D193">
            <v>0</v>
          </cell>
          <cell r="E193">
            <v>1</v>
          </cell>
          <cell r="F193">
            <v>2</v>
          </cell>
          <cell r="G193">
            <v>0</v>
          </cell>
          <cell r="H193">
            <v>0</v>
          </cell>
          <cell r="I193">
            <v>3</v>
          </cell>
          <cell r="J193">
            <v>3</v>
          </cell>
          <cell r="K193">
            <v>0</v>
          </cell>
          <cell r="L193">
            <v>0</v>
          </cell>
          <cell r="M193">
            <v>3</v>
          </cell>
          <cell r="N193">
            <v>6.7</v>
          </cell>
          <cell r="O193">
            <v>27144.16</v>
          </cell>
          <cell r="P193">
            <v>45.7</v>
          </cell>
        </row>
        <row r="194">
          <cell r="A194">
            <v>3.001</v>
          </cell>
          <cell r="C194" t="str">
            <v>KIDNEY &amp; URINARY TRACT MALIGNANCY                                                 </v>
          </cell>
          <cell r="D194">
            <v>0</v>
          </cell>
          <cell r="E194">
            <v>0</v>
          </cell>
          <cell r="F194">
            <v>0</v>
          </cell>
          <cell r="G194">
            <v>3</v>
          </cell>
          <cell r="H194">
            <v>0</v>
          </cell>
          <cell r="I194">
            <v>3</v>
          </cell>
          <cell r="J194">
            <v>3</v>
          </cell>
          <cell r="K194">
            <v>0</v>
          </cell>
          <cell r="L194">
            <v>0</v>
          </cell>
          <cell r="M194">
            <v>3</v>
          </cell>
          <cell r="N194">
            <v>2.7</v>
          </cell>
          <cell r="O194">
            <v>11484.61</v>
          </cell>
          <cell r="P194">
            <v>86.3</v>
          </cell>
        </row>
        <row r="195">
          <cell r="A195">
            <v>3.001</v>
          </cell>
          <cell r="C195" t="str">
            <v>RENAL DIALYSIS ACCESS DEVICE PROCEDURE ONLY                                       </v>
          </cell>
          <cell r="D195">
            <v>0</v>
          </cell>
          <cell r="E195">
            <v>0</v>
          </cell>
          <cell r="F195">
            <v>0</v>
          </cell>
          <cell r="G195">
            <v>3</v>
          </cell>
          <cell r="H195">
            <v>0</v>
          </cell>
          <cell r="I195">
            <v>3</v>
          </cell>
          <cell r="J195">
            <v>2</v>
          </cell>
          <cell r="K195">
            <v>1</v>
          </cell>
          <cell r="L195">
            <v>0</v>
          </cell>
          <cell r="M195">
            <v>3</v>
          </cell>
          <cell r="N195">
            <v>9.7</v>
          </cell>
          <cell r="O195">
            <v>50308.33</v>
          </cell>
          <cell r="P195">
            <v>70.3</v>
          </cell>
        </row>
        <row r="196">
          <cell r="A196">
            <v>3.001</v>
          </cell>
          <cell r="C196" t="str">
            <v>MAJOR BLADDER PROCEDURES                                                          </v>
          </cell>
          <cell r="D196">
            <v>0</v>
          </cell>
          <cell r="E196">
            <v>0</v>
          </cell>
          <cell r="F196">
            <v>2</v>
          </cell>
          <cell r="G196">
            <v>1</v>
          </cell>
          <cell r="H196">
            <v>0</v>
          </cell>
          <cell r="I196">
            <v>3</v>
          </cell>
          <cell r="J196">
            <v>2</v>
          </cell>
          <cell r="K196">
            <v>1</v>
          </cell>
          <cell r="L196">
            <v>0</v>
          </cell>
          <cell r="M196">
            <v>3</v>
          </cell>
          <cell r="N196">
            <v>10.3</v>
          </cell>
          <cell r="O196">
            <v>90132.24</v>
          </cell>
          <cell r="P196">
            <v>66.3</v>
          </cell>
        </row>
        <row r="197">
          <cell r="A197">
            <v>3.001</v>
          </cell>
          <cell r="C197" t="str">
            <v>SKIN GRAFT FOR SKIN &amp; SUBCUTANEOUS TISSUE DIAGNOSES                               </v>
          </cell>
          <cell r="D197">
            <v>0</v>
          </cell>
          <cell r="E197">
            <v>1</v>
          </cell>
          <cell r="F197">
            <v>1</v>
          </cell>
          <cell r="G197">
            <v>1</v>
          </cell>
          <cell r="H197">
            <v>0</v>
          </cell>
          <cell r="I197">
            <v>3</v>
          </cell>
          <cell r="J197">
            <v>2</v>
          </cell>
          <cell r="K197">
            <v>1</v>
          </cell>
          <cell r="L197">
            <v>0</v>
          </cell>
          <cell r="M197">
            <v>3</v>
          </cell>
          <cell r="N197">
            <v>11</v>
          </cell>
          <cell r="O197">
            <v>51050.96</v>
          </cell>
          <cell r="P197">
            <v>47.7</v>
          </cell>
        </row>
        <row r="198">
          <cell r="A198">
            <v>3.001</v>
          </cell>
          <cell r="C198" t="str">
            <v>DORSAL &amp; LUMBAR FUSION PROC EXCEPT FOR CURVATURE OF BACK                          </v>
          </cell>
          <cell r="D198">
            <v>0</v>
          </cell>
          <cell r="E198">
            <v>1</v>
          </cell>
          <cell r="F198">
            <v>2</v>
          </cell>
          <cell r="G198">
            <v>0</v>
          </cell>
          <cell r="H198">
            <v>0</v>
          </cell>
          <cell r="I198">
            <v>3</v>
          </cell>
          <cell r="J198">
            <v>2</v>
          </cell>
          <cell r="K198">
            <v>1</v>
          </cell>
          <cell r="L198">
            <v>0</v>
          </cell>
          <cell r="M198">
            <v>3</v>
          </cell>
          <cell r="N198">
            <v>5</v>
          </cell>
          <cell r="O198">
            <v>109234.31</v>
          </cell>
          <cell r="P198">
            <v>44.3</v>
          </cell>
        </row>
        <row r="199">
          <cell r="A199">
            <v>3.001</v>
          </cell>
          <cell r="C199" t="str">
            <v>CARDIAC PACEMAKER &amp; DEFIBRILLATOR REVISION EXCEPT DEVICE REPLACEMENT              </v>
          </cell>
          <cell r="D199">
            <v>0</v>
          </cell>
          <cell r="E199">
            <v>0</v>
          </cell>
          <cell r="F199">
            <v>1</v>
          </cell>
          <cell r="G199">
            <v>2</v>
          </cell>
          <cell r="H199">
            <v>0</v>
          </cell>
          <cell r="I199">
            <v>3</v>
          </cell>
          <cell r="J199">
            <v>1</v>
          </cell>
          <cell r="K199">
            <v>2</v>
          </cell>
          <cell r="L199">
            <v>0</v>
          </cell>
          <cell r="M199">
            <v>3</v>
          </cell>
          <cell r="N199">
            <v>2.7</v>
          </cell>
          <cell r="O199">
            <v>29499.58</v>
          </cell>
          <cell r="P199">
            <v>75.7</v>
          </cell>
        </row>
        <row r="200">
          <cell r="A200">
            <v>3.001</v>
          </cell>
          <cell r="C200" t="str">
            <v>PERMANENT CARDIAC PACEMAKER IMPLANT W AMI, HEART FAILURE OR SHOCK                 </v>
          </cell>
          <cell r="D200">
            <v>0</v>
          </cell>
          <cell r="E200">
            <v>0</v>
          </cell>
          <cell r="F200">
            <v>1</v>
          </cell>
          <cell r="G200">
            <v>2</v>
          </cell>
          <cell r="H200">
            <v>0</v>
          </cell>
          <cell r="I200">
            <v>3</v>
          </cell>
          <cell r="J200">
            <v>1</v>
          </cell>
          <cell r="K200">
            <v>2</v>
          </cell>
          <cell r="L200">
            <v>0</v>
          </cell>
          <cell r="M200">
            <v>3</v>
          </cell>
          <cell r="N200">
            <v>3.7</v>
          </cell>
          <cell r="O200">
            <v>61407.16</v>
          </cell>
          <cell r="P200">
            <v>78</v>
          </cell>
        </row>
        <row r="201">
          <cell r="A201">
            <v>3.001</v>
          </cell>
          <cell r="C201" t="str">
            <v>DENTAL &amp; ORAL DISEASES &amp; INJURIES                                                 </v>
          </cell>
          <cell r="D201">
            <v>0</v>
          </cell>
          <cell r="E201">
            <v>2</v>
          </cell>
          <cell r="F201">
            <v>1</v>
          </cell>
          <cell r="G201">
            <v>0</v>
          </cell>
          <cell r="H201">
            <v>0</v>
          </cell>
          <cell r="I201">
            <v>3</v>
          </cell>
          <cell r="J201">
            <v>0</v>
          </cell>
          <cell r="K201">
            <v>3</v>
          </cell>
          <cell r="L201">
            <v>0</v>
          </cell>
          <cell r="M201">
            <v>3</v>
          </cell>
          <cell r="N201">
            <v>6.7</v>
          </cell>
          <cell r="O201">
            <v>23920.39</v>
          </cell>
          <cell r="P201">
            <v>41</v>
          </cell>
        </row>
        <row r="202">
          <cell r="A202">
            <v>3.001</v>
          </cell>
          <cell r="C202" t="str">
            <v>TONSIL &amp; ADENOID PROCEDURES                                                       </v>
          </cell>
          <cell r="D202">
            <v>0</v>
          </cell>
          <cell r="E202">
            <v>3</v>
          </cell>
          <cell r="F202">
            <v>0</v>
          </cell>
          <cell r="G202">
            <v>0</v>
          </cell>
          <cell r="H202">
            <v>0</v>
          </cell>
          <cell r="I202">
            <v>3</v>
          </cell>
          <cell r="J202">
            <v>0</v>
          </cell>
          <cell r="K202">
            <v>3</v>
          </cell>
          <cell r="L202">
            <v>0</v>
          </cell>
          <cell r="M202">
            <v>3</v>
          </cell>
          <cell r="N202">
            <v>2.3</v>
          </cell>
          <cell r="O202">
            <v>19648.17</v>
          </cell>
          <cell r="P202">
            <v>20.7</v>
          </cell>
        </row>
        <row r="203">
          <cell r="A203">
            <v>3.001</v>
          </cell>
          <cell r="C203" t="str">
            <v>OTHER MAJOR HEAD &amp; NECK PROCEDURES                                                </v>
          </cell>
          <cell r="D203">
            <v>0</v>
          </cell>
          <cell r="E203">
            <v>0</v>
          </cell>
          <cell r="F203">
            <v>1</v>
          </cell>
          <cell r="G203">
            <v>2</v>
          </cell>
          <cell r="H203">
            <v>0</v>
          </cell>
          <cell r="I203">
            <v>3</v>
          </cell>
          <cell r="J203">
            <v>3</v>
          </cell>
          <cell r="K203">
            <v>0</v>
          </cell>
          <cell r="L203">
            <v>0</v>
          </cell>
          <cell r="M203">
            <v>3</v>
          </cell>
          <cell r="N203">
            <v>8.3</v>
          </cell>
          <cell r="O203">
            <v>77352.91</v>
          </cell>
          <cell r="P203">
            <v>69.3</v>
          </cell>
        </row>
        <row r="204">
          <cell r="A204">
            <v>3.001</v>
          </cell>
          <cell r="C204" t="str">
            <v>NERVOUS SYSTEM MALIGNANCY                                                         </v>
          </cell>
          <cell r="D204">
            <v>0</v>
          </cell>
          <cell r="E204">
            <v>1</v>
          </cell>
          <cell r="F204">
            <v>1</v>
          </cell>
          <cell r="G204">
            <v>1</v>
          </cell>
          <cell r="H204">
            <v>0</v>
          </cell>
          <cell r="I204">
            <v>3</v>
          </cell>
          <cell r="J204">
            <v>2</v>
          </cell>
          <cell r="K204">
            <v>1</v>
          </cell>
          <cell r="L204">
            <v>0</v>
          </cell>
          <cell r="M204">
            <v>3</v>
          </cell>
          <cell r="N204">
            <v>3.7</v>
          </cell>
          <cell r="O204">
            <v>19655.93</v>
          </cell>
          <cell r="P204">
            <v>58</v>
          </cell>
        </row>
        <row r="205">
          <cell r="A205">
            <v>3</v>
          </cell>
          <cell r="C205" t="str">
            <v>SPINAL PROCEDURES                                                                 </v>
          </cell>
          <cell r="D205">
            <v>0</v>
          </cell>
          <cell r="E205">
            <v>3</v>
          </cell>
          <cell r="F205">
            <v>0</v>
          </cell>
          <cell r="G205">
            <v>0</v>
          </cell>
          <cell r="H205">
            <v>0</v>
          </cell>
          <cell r="I205">
            <v>3</v>
          </cell>
          <cell r="J205">
            <v>1</v>
          </cell>
          <cell r="K205">
            <v>2</v>
          </cell>
          <cell r="L205">
            <v>0</v>
          </cell>
          <cell r="M205">
            <v>3</v>
          </cell>
          <cell r="N205">
            <v>6</v>
          </cell>
          <cell r="O205">
            <v>57309.16</v>
          </cell>
          <cell r="P205">
            <v>31.7</v>
          </cell>
        </row>
        <row r="206">
          <cell r="A206">
            <v>2.001</v>
          </cell>
          <cell r="C206" t="str">
            <v>OTHER MENTAL HEALTH DISORDERS                                                     </v>
          </cell>
          <cell r="D206">
            <v>0</v>
          </cell>
          <cell r="E206">
            <v>0</v>
          </cell>
          <cell r="F206">
            <v>1</v>
          </cell>
          <cell r="G206">
            <v>1</v>
          </cell>
          <cell r="H206">
            <v>0</v>
          </cell>
          <cell r="I206">
            <v>2</v>
          </cell>
          <cell r="J206">
            <v>1</v>
          </cell>
          <cell r="K206">
            <v>1</v>
          </cell>
          <cell r="L206">
            <v>0</v>
          </cell>
          <cell r="M206">
            <v>2</v>
          </cell>
          <cell r="N206">
            <v>4</v>
          </cell>
          <cell r="O206">
            <v>7392.31</v>
          </cell>
          <cell r="P206">
            <v>58</v>
          </cell>
        </row>
        <row r="207">
          <cell r="A207">
            <v>2.001</v>
          </cell>
          <cell r="C207" t="str">
            <v>ORGANIC MENTAL HEALTH DISTURBANCES                                                </v>
          </cell>
          <cell r="D207">
            <v>0</v>
          </cell>
          <cell r="E207">
            <v>0</v>
          </cell>
          <cell r="F207">
            <v>0</v>
          </cell>
          <cell r="G207">
            <v>2</v>
          </cell>
          <cell r="H207">
            <v>0</v>
          </cell>
          <cell r="I207">
            <v>2</v>
          </cell>
          <cell r="J207">
            <v>0</v>
          </cell>
          <cell r="K207">
            <v>2</v>
          </cell>
          <cell r="L207">
            <v>0</v>
          </cell>
          <cell r="M207">
            <v>2</v>
          </cell>
          <cell r="N207">
            <v>2.5</v>
          </cell>
          <cell r="O207">
            <v>13295.49</v>
          </cell>
          <cell r="P207">
            <v>85</v>
          </cell>
        </row>
        <row r="208">
          <cell r="A208">
            <v>2.001</v>
          </cell>
          <cell r="C208" t="str">
            <v>BIPOLAR DISORDERS                                                                 </v>
          </cell>
          <cell r="D208">
            <v>0</v>
          </cell>
          <cell r="E208">
            <v>2</v>
          </cell>
          <cell r="F208">
            <v>0</v>
          </cell>
          <cell r="G208">
            <v>0</v>
          </cell>
          <cell r="H208">
            <v>0</v>
          </cell>
          <cell r="I208">
            <v>2</v>
          </cell>
          <cell r="J208">
            <v>2</v>
          </cell>
          <cell r="K208">
            <v>0</v>
          </cell>
          <cell r="L208">
            <v>0</v>
          </cell>
          <cell r="M208">
            <v>2</v>
          </cell>
          <cell r="N208">
            <v>1.5</v>
          </cell>
          <cell r="O208">
            <v>6723.02</v>
          </cell>
          <cell r="P208">
            <v>29</v>
          </cell>
        </row>
        <row r="209">
          <cell r="A209">
            <v>2.001</v>
          </cell>
          <cell r="C209" t="str">
            <v>MAJOR DEPRESSIVE DISORDERS &amp; OTHER/UNSPECIFIED PSYCHOSES                          </v>
          </cell>
          <cell r="D209">
            <v>0</v>
          </cell>
          <cell r="E209">
            <v>1</v>
          </cell>
          <cell r="F209">
            <v>1</v>
          </cell>
          <cell r="G209">
            <v>0</v>
          </cell>
          <cell r="H209">
            <v>0</v>
          </cell>
          <cell r="I209">
            <v>2</v>
          </cell>
          <cell r="J209">
            <v>1</v>
          </cell>
          <cell r="K209">
            <v>1</v>
          </cell>
          <cell r="L209">
            <v>0</v>
          </cell>
          <cell r="M209">
            <v>2</v>
          </cell>
          <cell r="N209">
            <v>6</v>
          </cell>
          <cell r="O209">
            <v>22999.92</v>
          </cell>
          <cell r="P209">
            <v>43.5</v>
          </cell>
        </row>
        <row r="210">
          <cell r="A210">
            <v>2.001</v>
          </cell>
          <cell r="C210" t="str">
            <v>NEONATE BIRTHWT &gt;2499G W CONGENITAL/PERINATAL INFECTION                           </v>
          </cell>
          <cell r="D210">
            <v>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</v>
          </cell>
          <cell r="J210">
            <v>0</v>
          </cell>
          <cell r="K210">
            <v>2</v>
          </cell>
          <cell r="L210">
            <v>0</v>
          </cell>
          <cell r="M210">
            <v>2</v>
          </cell>
          <cell r="N210">
            <v>8.5</v>
          </cell>
          <cell r="O210">
            <v>9265.52</v>
          </cell>
          <cell r="P210">
            <v>0</v>
          </cell>
        </row>
        <row r="211">
          <cell r="A211">
            <v>2.001</v>
          </cell>
          <cell r="C211" t="str">
            <v>NEONATE BWT 1500-1999G W RESP DIST SYND/OTH MAJ RESP COND                         </v>
          </cell>
          <cell r="D211">
            <v>2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</v>
          </cell>
          <cell r="J211">
            <v>1</v>
          </cell>
          <cell r="K211">
            <v>1</v>
          </cell>
          <cell r="L211">
            <v>0</v>
          </cell>
          <cell r="M211">
            <v>2</v>
          </cell>
          <cell r="N211">
            <v>24.5</v>
          </cell>
          <cell r="O211">
            <v>29111.82</v>
          </cell>
          <cell r="P211">
            <v>0</v>
          </cell>
        </row>
        <row r="212">
          <cell r="A212">
            <v>2.001</v>
          </cell>
          <cell r="C212" t="str">
            <v>NEONATE BWT 1250-1499G W OR W/O OTHER SIGNIFICANT CONDITION                       </v>
          </cell>
          <cell r="D212">
            <v>2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</v>
          </cell>
          <cell r="J212">
            <v>0</v>
          </cell>
          <cell r="K212">
            <v>2</v>
          </cell>
          <cell r="L212">
            <v>0</v>
          </cell>
          <cell r="M212">
            <v>2</v>
          </cell>
          <cell r="N212">
            <v>24</v>
          </cell>
          <cell r="O212">
            <v>25188.91</v>
          </cell>
          <cell r="P212">
            <v>0</v>
          </cell>
        </row>
        <row r="213">
          <cell r="A213">
            <v>2.001</v>
          </cell>
          <cell r="C213" t="str">
            <v>NEONATE BWT &lt;500G                                                                 </v>
          </cell>
          <cell r="D213">
            <v>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</v>
          </cell>
          <cell r="J213">
            <v>1</v>
          </cell>
          <cell r="K213">
            <v>1</v>
          </cell>
          <cell r="L213">
            <v>0</v>
          </cell>
          <cell r="M213">
            <v>2</v>
          </cell>
          <cell r="N213">
            <v>1</v>
          </cell>
          <cell r="O213">
            <v>1073</v>
          </cell>
          <cell r="P213">
            <v>0</v>
          </cell>
        </row>
        <row r="214">
          <cell r="A214">
            <v>2.001</v>
          </cell>
          <cell r="C214" t="str">
            <v>FALSE LABOR                                                                       </v>
          </cell>
          <cell r="D214">
            <v>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2</v>
          </cell>
          <cell r="J214">
            <v>0</v>
          </cell>
          <cell r="K214">
            <v>2</v>
          </cell>
          <cell r="L214">
            <v>0</v>
          </cell>
          <cell r="M214">
            <v>2</v>
          </cell>
          <cell r="N214">
            <v>1</v>
          </cell>
          <cell r="O214">
            <v>3142.18</v>
          </cell>
          <cell r="P214">
            <v>27</v>
          </cell>
        </row>
        <row r="215">
          <cell r="A215">
            <v>2.001</v>
          </cell>
          <cell r="C215" t="str">
            <v>FEMALE REPRODUCTIVE SYSTEM INFECTIONS                                             </v>
          </cell>
          <cell r="D215">
            <v>0</v>
          </cell>
          <cell r="E215">
            <v>2</v>
          </cell>
          <cell r="F215">
            <v>0</v>
          </cell>
          <cell r="G215">
            <v>0</v>
          </cell>
          <cell r="H215">
            <v>0</v>
          </cell>
          <cell r="I215">
            <v>2</v>
          </cell>
          <cell r="J215">
            <v>0</v>
          </cell>
          <cell r="K215">
            <v>2</v>
          </cell>
          <cell r="L215">
            <v>0</v>
          </cell>
          <cell r="M215">
            <v>2</v>
          </cell>
          <cell r="N215">
            <v>5</v>
          </cell>
          <cell r="O215">
            <v>23652.76</v>
          </cell>
          <cell r="P215">
            <v>35</v>
          </cell>
        </row>
        <row r="216">
          <cell r="A216">
            <v>2.001</v>
          </cell>
          <cell r="C216" t="str">
            <v>MALIGNANCY, MALE REPRODUCTIVE SYSTEM                                              </v>
          </cell>
          <cell r="D216">
            <v>0</v>
          </cell>
          <cell r="E216">
            <v>0</v>
          </cell>
          <cell r="F216">
            <v>1</v>
          </cell>
          <cell r="G216">
            <v>1</v>
          </cell>
          <cell r="H216">
            <v>0</v>
          </cell>
          <cell r="I216">
            <v>2</v>
          </cell>
          <cell r="J216">
            <v>2</v>
          </cell>
          <cell r="K216">
            <v>0</v>
          </cell>
          <cell r="L216">
            <v>0</v>
          </cell>
          <cell r="M216">
            <v>2</v>
          </cell>
          <cell r="N216">
            <v>6</v>
          </cell>
          <cell r="O216">
            <v>30202.97</v>
          </cell>
          <cell r="P216">
            <v>66</v>
          </cell>
        </row>
        <row r="217">
          <cell r="A217">
            <v>2.001</v>
          </cell>
          <cell r="C217" t="str">
            <v>OTHER MALE REPRODUCTIVE SYSTEM &amp; RELATED PROCEDURES                               </v>
          </cell>
          <cell r="D217">
            <v>0</v>
          </cell>
          <cell r="E217">
            <v>0</v>
          </cell>
          <cell r="F217">
            <v>1</v>
          </cell>
          <cell r="G217">
            <v>1</v>
          </cell>
          <cell r="H217">
            <v>0</v>
          </cell>
          <cell r="I217">
            <v>2</v>
          </cell>
          <cell r="J217">
            <v>2</v>
          </cell>
          <cell r="K217">
            <v>0</v>
          </cell>
          <cell r="L217">
            <v>0</v>
          </cell>
          <cell r="M217">
            <v>2</v>
          </cell>
          <cell r="N217">
            <v>4</v>
          </cell>
          <cell r="O217">
            <v>35397.14</v>
          </cell>
          <cell r="P217">
            <v>70.5</v>
          </cell>
        </row>
        <row r="218">
          <cell r="A218">
            <v>2.001</v>
          </cell>
          <cell r="C218" t="str">
            <v>OTHER BLADDER PROCEDURES                                                          </v>
          </cell>
          <cell r="D218">
            <v>0</v>
          </cell>
          <cell r="E218">
            <v>0</v>
          </cell>
          <cell r="F218">
            <v>0</v>
          </cell>
          <cell r="G218">
            <v>2</v>
          </cell>
          <cell r="H218">
            <v>0</v>
          </cell>
          <cell r="I218">
            <v>2</v>
          </cell>
          <cell r="J218">
            <v>0</v>
          </cell>
          <cell r="K218">
            <v>2</v>
          </cell>
          <cell r="L218">
            <v>0</v>
          </cell>
          <cell r="M218">
            <v>2</v>
          </cell>
          <cell r="N218">
            <v>2</v>
          </cell>
          <cell r="O218">
            <v>21646.33</v>
          </cell>
          <cell r="P218">
            <v>71.5</v>
          </cell>
        </row>
        <row r="219">
          <cell r="A219">
            <v>2.001</v>
          </cell>
          <cell r="C219" t="str">
            <v>OTHER PROCEDURES FOR ENDOCRINE, NUTRITIONAL &amp; METABOLIC DISORDERS                 </v>
          </cell>
          <cell r="D219">
            <v>0</v>
          </cell>
          <cell r="E219">
            <v>1</v>
          </cell>
          <cell r="F219">
            <v>0</v>
          </cell>
          <cell r="G219">
            <v>1</v>
          </cell>
          <cell r="H219">
            <v>0</v>
          </cell>
          <cell r="I219">
            <v>2</v>
          </cell>
          <cell r="J219">
            <v>1</v>
          </cell>
          <cell r="K219">
            <v>1</v>
          </cell>
          <cell r="L219">
            <v>0</v>
          </cell>
          <cell r="M219">
            <v>2</v>
          </cell>
          <cell r="N219">
            <v>4.5</v>
          </cell>
          <cell r="O219">
            <v>34068.19</v>
          </cell>
          <cell r="P219">
            <v>55</v>
          </cell>
        </row>
        <row r="220">
          <cell r="A220">
            <v>2.001</v>
          </cell>
          <cell r="C220" t="str">
            <v>HIP &amp; FEMUR PROCEDURES FOR NON-TRAUMA EXCEPT JOINT REPLACEMENT                    </v>
          </cell>
          <cell r="D220">
            <v>0</v>
          </cell>
          <cell r="E220">
            <v>0</v>
          </cell>
          <cell r="F220">
            <v>0</v>
          </cell>
          <cell r="G220">
            <v>2</v>
          </cell>
          <cell r="H220">
            <v>0</v>
          </cell>
          <cell r="I220">
            <v>2</v>
          </cell>
          <cell r="J220">
            <v>0</v>
          </cell>
          <cell r="K220">
            <v>2</v>
          </cell>
          <cell r="L220">
            <v>0</v>
          </cell>
          <cell r="M220">
            <v>2</v>
          </cell>
          <cell r="N220">
            <v>4.5</v>
          </cell>
          <cell r="O220">
            <v>52090.51</v>
          </cell>
          <cell r="P220">
            <v>76.5</v>
          </cell>
        </row>
        <row r="221">
          <cell r="A221">
            <v>2.001</v>
          </cell>
          <cell r="C221" t="str">
            <v>MAJOR BILIARY TRACT PROCEDURES                                                    </v>
          </cell>
          <cell r="D221">
            <v>0</v>
          </cell>
          <cell r="E221">
            <v>1</v>
          </cell>
          <cell r="F221">
            <v>0</v>
          </cell>
          <cell r="G221">
            <v>1</v>
          </cell>
          <cell r="H221">
            <v>0</v>
          </cell>
          <cell r="I221">
            <v>2</v>
          </cell>
          <cell r="J221">
            <v>0</v>
          </cell>
          <cell r="K221">
            <v>2</v>
          </cell>
          <cell r="L221">
            <v>0</v>
          </cell>
          <cell r="M221">
            <v>2</v>
          </cell>
          <cell r="N221">
            <v>3</v>
          </cell>
          <cell r="O221">
            <v>21210.76</v>
          </cell>
          <cell r="P221">
            <v>62</v>
          </cell>
        </row>
        <row r="222">
          <cell r="A222">
            <v>2.001</v>
          </cell>
          <cell r="C222" t="str">
            <v>ANAL PROCEDURES                                                                   </v>
          </cell>
          <cell r="D222">
            <v>0</v>
          </cell>
          <cell r="E222">
            <v>2</v>
          </cell>
          <cell r="F222">
            <v>0</v>
          </cell>
          <cell r="G222">
            <v>0</v>
          </cell>
          <cell r="H222">
            <v>0</v>
          </cell>
          <cell r="I222">
            <v>2</v>
          </cell>
          <cell r="J222">
            <v>1</v>
          </cell>
          <cell r="K222">
            <v>1</v>
          </cell>
          <cell r="L222">
            <v>0</v>
          </cell>
          <cell r="M222">
            <v>2</v>
          </cell>
          <cell r="N222">
            <v>2</v>
          </cell>
          <cell r="O222">
            <v>11336.84</v>
          </cell>
          <cell r="P222">
            <v>36</v>
          </cell>
        </row>
        <row r="223">
          <cell r="A223">
            <v>2.001</v>
          </cell>
          <cell r="C223" t="str">
            <v>CARDIAC PACEMAKER &amp; DEFIBRILLATOR DEVICE REPLACEMENT                              </v>
          </cell>
          <cell r="D223">
            <v>0</v>
          </cell>
          <cell r="E223">
            <v>0</v>
          </cell>
          <cell r="F223">
            <v>1</v>
          </cell>
          <cell r="G223">
            <v>1</v>
          </cell>
          <cell r="H223">
            <v>0</v>
          </cell>
          <cell r="I223">
            <v>2</v>
          </cell>
          <cell r="J223">
            <v>1</v>
          </cell>
          <cell r="K223">
            <v>1</v>
          </cell>
          <cell r="L223">
            <v>0</v>
          </cell>
          <cell r="M223">
            <v>2</v>
          </cell>
          <cell r="N223">
            <v>2.5</v>
          </cell>
          <cell r="O223">
            <v>68751.75</v>
          </cell>
          <cell r="P223">
            <v>68.5</v>
          </cell>
        </row>
        <row r="224">
          <cell r="A224">
            <v>2.001</v>
          </cell>
          <cell r="C224" t="str">
            <v>OTHER EAR, NOSE, MOUTH &amp; THROAT PROCEDURES                                        </v>
          </cell>
          <cell r="D224">
            <v>0</v>
          </cell>
          <cell r="E224">
            <v>1</v>
          </cell>
          <cell r="F224">
            <v>1</v>
          </cell>
          <cell r="G224">
            <v>0</v>
          </cell>
          <cell r="H224">
            <v>0</v>
          </cell>
          <cell r="I224">
            <v>2</v>
          </cell>
          <cell r="J224">
            <v>1</v>
          </cell>
          <cell r="K224">
            <v>1</v>
          </cell>
          <cell r="L224">
            <v>0</v>
          </cell>
          <cell r="M224">
            <v>2</v>
          </cell>
          <cell r="N224">
            <v>4.5</v>
          </cell>
          <cell r="O224">
            <v>28041.96</v>
          </cell>
          <cell r="P224">
            <v>38.5</v>
          </cell>
        </row>
        <row r="225">
          <cell r="A225">
            <v>2.001</v>
          </cell>
          <cell r="C225" t="str">
            <v>MAJOR CRANIAL/FACIAL BONE PROCEDURES                                              </v>
          </cell>
          <cell r="D225">
            <v>0</v>
          </cell>
          <cell r="E225">
            <v>0</v>
          </cell>
          <cell r="F225">
            <v>1</v>
          </cell>
          <cell r="G225">
            <v>1</v>
          </cell>
          <cell r="H225">
            <v>0</v>
          </cell>
          <cell r="I225">
            <v>2</v>
          </cell>
          <cell r="J225">
            <v>1</v>
          </cell>
          <cell r="K225">
            <v>1</v>
          </cell>
          <cell r="L225">
            <v>0</v>
          </cell>
          <cell r="M225">
            <v>2</v>
          </cell>
          <cell r="N225">
            <v>7</v>
          </cell>
          <cell r="O225">
            <v>61092.4</v>
          </cell>
          <cell r="P225">
            <v>62</v>
          </cell>
        </row>
        <row r="226">
          <cell r="A226">
            <v>2.001</v>
          </cell>
          <cell r="C226" t="str">
            <v>BACTERIAL &amp; TUBERCULOUS INFECTIONS OF NERVOUS SYSTEM                              </v>
          </cell>
          <cell r="D226">
            <v>0</v>
          </cell>
          <cell r="E226">
            <v>0</v>
          </cell>
          <cell r="F226">
            <v>1</v>
          </cell>
          <cell r="G226">
            <v>1</v>
          </cell>
          <cell r="H226">
            <v>0</v>
          </cell>
          <cell r="I226">
            <v>2</v>
          </cell>
          <cell r="J226">
            <v>2</v>
          </cell>
          <cell r="K226">
            <v>0</v>
          </cell>
          <cell r="L226">
            <v>0</v>
          </cell>
          <cell r="M226">
            <v>2</v>
          </cell>
          <cell r="N226">
            <v>7</v>
          </cell>
          <cell r="O226">
            <v>42881.99</v>
          </cell>
          <cell r="P226">
            <v>64.5</v>
          </cell>
        </row>
        <row r="227">
          <cell r="A227">
            <v>2</v>
          </cell>
          <cell r="C227" t="str">
            <v>NONSPECIFIC CVA &amp; PRECEREBRAL OCCLUSION W/O INFARCT                               </v>
          </cell>
          <cell r="D227">
            <v>0</v>
          </cell>
          <cell r="E227">
            <v>0</v>
          </cell>
          <cell r="F227">
            <v>0</v>
          </cell>
          <cell r="G227">
            <v>2</v>
          </cell>
          <cell r="H227">
            <v>0</v>
          </cell>
          <cell r="I227">
            <v>2</v>
          </cell>
          <cell r="J227">
            <v>1</v>
          </cell>
          <cell r="K227">
            <v>1</v>
          </cell>
          <cell r="L227">
            <v>0</v>
          </cell>
          <cell r="M227">
            <v>2</v>
          </cell>
          <cell r="N227">
            <v>4</v>
          </cell>
          <cell r="O227">
            <v>30365.7</v>
          </cell>
          <cell r="P227">
            <v>77.5</v>
          </cell>
        </row>
        <row r="228">
          <cell r="A228">
            <v>1.001</v>
          </cell>
          <cell r="C228" t="str">
            <v>UNGROUPABLE                                                                       </v>
          </cell>
          <cell r="D228">
            <v>0</v>
          </cell>
          <cell r="E228">
            <v>0</v>
          </cell>
          <cell r="F228">
            <v>1</v>
          </cell>
          <cell r="G228">
            <v>0</v>
          </cell>
          <cell r="H228">
            <v>0</v>
          </cell>
          <cell r="I228">
            <v>1</v>
          </cell>
          <cell r="J228">
            <v>0</v>
          </cell>
          <cell r="K228">
            <v>1</v>
          </cell>
          <cell r="L228">
            <v>0</v>
          </cell>
          <cell r="M228">
            <v>1</v>
          </cell>
          <cell r="N228">
            <v>11</v>
          </cell>
          <cell r="O228">
            <v>62350.13</v>
          </cell>
          <cell r="P228">
            <v>50</v>
          </cell>
        </row>
        <row r="229">
          <cell r="A229">
            <v>1.001</v>
          </cell>
          <cell r="C229" t="str">
            <v>HIV W MULTIPLE SIGNIFICANT HIV RELATED CONDITIONS                                 </v>
          </cell>
          <cell r="D229">
            <v>0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1</v>
          </cell>
          <cell r="J229">
            <v>0</v>
          </cell>
          <cell r="K229">
            <v>1</v>
          </cell>
          <cell r="L229">
            <v>0</v>
          </cell>
          <cell r="M229">
            <v>1</v>
          </cell>
          <cell r="N229">
            <v>3</v>
          </cell>
          <cell r="O229">
            <v>17717.36</v>
          </cell>
          <cell r="P229">
            <v>36</v>
          </cell>
        </row>
        <row r="230">
          <cell r="A230">
            <v>1.001</v>
          </cell>
          <cell r="C230" t="str">
            <v>COCAINE ABUSE &amp; DEPENDENCE                                                        </v>
          </cell>
          <cell r="D230">
            <v>0</v>
          </cell>
          <cell r="E230">
            <v>0</v>
          </cell>
          <cell r="F230">
            <v>1</v>
          </cell>
          <cell r="G230">
            <v>0</v>
          </cell>
          <cell r="H230">
            <v>0</v>
          </cell>
          <cell r="I230">
            <v>1</v>
          </cell>
          <cell r="J230">
            <v>1</v>
          </cell>
          <cell r="K230">
            <v>0</v>
          </cell>
          <cell r="L230">
            <v>0</v>
          </cell>
          <cell r="M230">
            <v>1</v>
          </cell>
          <cell r="N230">
            <v>1</v>
          </cell>
          <cell r="O230">
            <v>9717.1</v>
          </cell>
          <cell r="P230">
            <v>64</v>
          </cell>
        </row>
        <row r="231">
          <cell r="A231">
            <v>1.001</v>
          </cell>
          <cell r="C231" t="str">
            <v>OPIOID ABUSE &amp; DEPENDENCE                                                         </v>
          </cell>
          <cell r="D231">
            <v>0</v>
          </cell>
          <cell r="E231">
            <v>0</v>
          </cell>
          <cell r="F231">
            <v>0</v>
          </cell>
          <cell r="G231">
            <v>1</v>
          </cell>
          <cell r="H231">
            <v>0</v>
          </cell>
          <cell r="I231">
            <v>1</v>
          </cell>
          <cell r="J231">
            <v>1</v>
          </cell>
          <cell r="K231">
            <v>0</v>
          </cell>
          <cell r="L231">
            <v>0</v>
          </cell>
          <cell r="M231">
            <v>1</v>
          </cell>
          <cell r="N231">
            <v>1</v>
          </cell>
          <cell r="O231">
            <v>6069.92</v>
          </cell>
          <cell r="P231">
            <v>72</v>
          </cell>
        </row>
        <row r="232">
          <cell r="A232">
            <v>1.001</v>
          </cell>
          <cell r="C232" t="str">
            <v>MAJOR O.R. PROCEDURES FOR LYMPHATIC/HEMATOPOIETIC/OTHER NEOPLASMS                 </v>
          </cell>
          <cell r="D232">
            <v>0</v>
          </cell>
          <cell r="E232">
            <v>0</v>
          </cell>
          <cell r="F232">
            <v>0</v>
          </cell>
          <cell r="G232">
            <v>1</v>
          </cell>
          <cell r="H232">
            <v>0</v>
          </cell>
          <cell r="I232">
            <v>1</v>
          </cell>
          <cell r="J232">
            <v>0</v>
          </cell>
          <cell r="K232">
            <v>1</v>
          </cell>
          <cell r="L232">
            <v>0</v>
          </cell>
          <cell r="M232">
            <v>1</v>
          </cell>
          <cell r="N232">
            <v>18</v>
          </cell>
          <cell r="O232">
            <v>114333.73</v>
          </cell>
          <cell r="P232">
            <v>81</v>
          </cell>
        </row>
        <row r="233">
          <cell r="A233">
            <v>1.001</v>
          </cell>
          <cell r="C233" t="str">
            <v>OTHER PROCEDURES OF BLOOD &amp; BLOOD-FORMING ORGANS                                  </v>
          </cell>
          <cell r="D233">
            <v>0</v>
          </cell>
          <cell r="E233">
            <v>0</v>
          </cell>
          <cell r="F233">
            <v>0</v>
          </cell>
          <cell r="G233">
            <v>1</v>
          </cell>
          <cell r="H233">
            <v>0</v>
          </cell>
          <cell r="I233">
            <v>1</v>
          </cell>
          <cell r="J233">
            <v>1</v>
          </cell>
          <cell r="K233">
            <v>0</v>
          </cell>
          <cell r="L233">
            <v>0</v>
          </cell>
          <cell r="M233">
            <v>1</v>
          </cell>
          <cell r="N233">
            <v>1</v>
          </cell>
          <cell r="O233">
            <v>40284.84</v>
          </cell>
          <cell r="P233">
            <v>77</v>
          </cell>
        </row>
        <row r="234">
          <cell r="A234">
            <v>1.001</v>
          </cell>
          <cell r="C234" t="str">
            <v>SPLENECTOMY                                                                       </v>
          </cell>
          <cell r="D234">
            <v>0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1</v>
          </cell>
          <cell r="J234">
            <v>0</v>
          </cell>
          <cell r="K234">
            <v>1</v>
          </cell>
          <cell r="L234">
            <v>0</v>
          </cell>
          <cell r="M234">
            <v>1</v>
          </cell>
          <cell r="N234">
            <v>4</v>
          </cell>
          <cell r="O234">
            <v>35220.42</v>
          </cell>
          <cell r="P234">
            <v>35</v>
          </cell>
        </row>
        <row r="235">
          <cell r="A235">
            <v>1.001</v>
          </cell>
          <cell r="C235" t="str">
            <v>NEONATE BWT 2000-2499G W OTHER SIGNIFICANT CONDITION                              </v>
          </cell>
          <cell r="D235">
            <v>1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0</v>
          </cell>
          <cell r="K235">
            <v>1</v>
          </cell>
          <cell r="L235">
            <v>0</v>
          </cell>
          <cell r="M235">
            <v>1</v>
          </cell>
          <cell r="N235">
            <v>6</v>
          </cell>
          <cell r="O235">
            <v>5460.4</v>
          </cell>
          <cell r="P235">
            <v>0</v>
          </cell>
        </row>
        <row r="236">
          <cell r="A236">
            <v>1.001</v>
          </cell>
          <cell r="C236" t="str">
            <v>NEONATE BWT 2000-2499G W CONGENITAL/PERINATAL INFECTION                           </v>
          </cell>
          <cell r="D236">
            <v>1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1</v>
          </cell>
          <cell r="J236">
            <v>1</v>
          </cell>
          <cell r="K236">
            <v>0</v>
          </cell>
          <cell r="L236">
            <v>0</v>
          </cell>
          <cell r="M236">
            <v>1</v>
          </cell>
          <cell r="N236">
            <v>6</v>
          </cell>
          <cell r="O236">
            <v>9386.18</v>
          </cell>
          <cell r="P236">
            <v>0</v>
          </cell>
        </row>
        <row r="237">
          <cell r="A237">
            <v>1.001</v>
          </cell>
          <cell r="C237" t="str">
            <v>NEONATE BWT 2000-2499G W RESP DIST SYND/OTH MAJ RESP COND                         </v>
          </cell>
          <cell r="D237">
            <v>1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0</v>
          </cell>
          <cell r="L237">
            <v>0</v>
          </cell>
          <cell r="M237">
            <v>1</v>
          </cell>
          <cell r="N237">
            <v>7</v>
          </cell>
          <cell r="O237">
            <v>8940.37</v>
          </cell>
          <cell r="P237">
            <v>0</v>
          </cell>
        </row>
        <row r="238">
          <cell r="A238">
            <v>1.001</v>
          </cell>
          <cell r="C238" t="str">
            <v>NEONATE BWT 1250-1499G W RESP DIST SYND/OTH MAJ RESP OR MAJ ANOM                  </v>
          </cell>
          <cell r="D238">
            <v>1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1</v>
          </cell>
          <cell r="J238">
            <v>0</v>
          </cell>
          <cell r="K238">
            <v>1</v>
          </cell>
          <cell r="L238">
            <v>0</v>
          </cell>
          <cell r="M238">
            <v>1</v>
          </cell>
          <cell r="N238">
            <v>24</v>
          </cell>
          <cell r="O238">
            <v>33934.72</v>
          </cell>
          <cell r="P238">
            <v>0</v>
          </cell>
        </row>
        <row r="239">
          <cell r="A239">
            <v>1.001</v>
          </cell>
          <cell r="C239" t="str">
            <v>NEONATE BIRTHWT 1000-1249G W OR W/O OTHER SIGNIFICANT CONDITION                   </v>
          </cell>
          <cell r="D239">
            <v>1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1</v>
          </cell>
          <cell r="J239">
            <v>0</v>
          </cell>
          <cell r="K239">
            <v>1</v>
          </cell>
          <cell r="L239">
            <v>0</v>
          </cell>
          <cell r="M239">
            <v>1</v>
          </cell>
          <cell r="N239">
            <v>40</v>
          </cell>
          <cell r="O239">
            <v>38039.62</v>
          </cell>
          <cell r="P239">
            <v>0</v>
          </cell>
        </row>
        <row r="240">
          <cell r="A240">
            <v>1.001</v>
          </cell>
          <cell r="C240" t="str">
            <v>NEONATE, TRANSFERRED &lt;5 DAYS OLD, NOT BORN HERE                                   </v>
          </cell>
          <cell r="D240">
            <v>1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1</v>
          </cell>
          <cell r="N240">
            <v>1</v>
          </cell>
          <cell r="O240">
            <v>8077.48</v>
          </cell>
          <cell r="P240">
            <v>0</v>
          </cell>
        </row>
        <row r="241">
          <cell r="A241">
            <v>1.001</v>
          </cell>
          <cell r="C241" t="str">
            <v>OTHER O.R. PROC FOR OBSTETRIC DIAGNOSES EXCEPT DELIVERY DIAGNOSES                 </v>
          </cell>
          <cell r="D241">
            <v>0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1</v>
          </cell>
          <cell r="J241">
            <v>0</v>
          </cell>
          <cell r="K241">
            <v>1</v>
          </cell>
          <cell r="L241">
            <v>0</v>
          </cell>
          <cell r="M241">
            <v>1</v>
          </cell>
          <cell r="N241">
            <v>2</v>
          </cell>
          <cell r="O241">
            <v>8365.9</v>
          </cell>
          <cell r="P241">
            <v>38</v>
          </cell>
        </row>
        <row r="242">
          <cell r="A242">
            <v>1.001</v>
          </cell>
          <cell r="C242" t="str">
            <v>DILATION &amp; CURETTAGE FOR NON-OBSTETRIC DIAGNOSES                                  </v>
          </cell>
          <cell r="D242">
            <v>0</v>
          </cell>
          <cell r="E242">
            <v>0</v>
          </cell>
          <cell r="F242">
            <v>1</v>
          </cell>
          <cell r="G242">
            <v>0</v>
          </cell>
          <cell r="H242">
            <v>0</v>
          </cell>
          <cell r="I242">
            <v>1</v>
          </cell>
          <cell r="J242">
            <v>0</v>
          </cell>
          <cell r="K242">
            <v>1</v>
          </cell>
          <cell r="L242">
            <v>0</v>
          </cell>
          <cell r="M242">
            <v>1</v>
          </cell>
          <cell r="N242">
            <v>2</v>
          </cell>
          <cell r="O242">
            <v>15917.15</v>
          </cell>
          <cell r="P242">
            <v>55</v>
          </cell>
        </row>
        <row r="243">
          <cell r="A243">
            <v>1.001</v>
          </cell>
          <cell r="C243" t="str">
            <v>UTERINE &amp; ADNEXA PROCEDURES FOR OVARIAN &amp; ADNEXAL MALIGNANCY                      </v>
          </cell>
          <cell r="D243">
            <v>0</v>
          </cell>
          <cell r="E243">
            <v>0</v>
          </cell>
          <cell r="F243">
            <v>1</v>
          </cell>
          <cell r="G243">
            <v>0</v>
          </cell>
          <cell r="H243">
            <v>0</v>
          </cell>
          <cell r="I243">
            <v>1</v>
          </cell>
          <cell r="J243">
            <v>0</v>
          </cell>
          <cell r="K243">
            <v>1</v>
          </cell>
          <cell r="L243">
            <v>0</v>
          </cell>
          <cell r="M243">
            <v>1</v>
          </cell>
          <cell r="N243">
            <v>3</v>
          </cell>
          <cell r="O243">
            <v>31246.68</v>
          </cell>
          <cell r="P243">
            <v>63</v>
          </cell>
        </row>
        <row r="244">
          <cell r="A244">
            <v>1.001</v>
          </cell>
          <cell r="C244" t="str">
            <v>PENIS PROCEDURES                                                                  </v>
          </cell>
          <cell r="D244">
            <v>0</v>
          </cell>
          <cell r="E244">
            <v>0</v>
          </cell>
          <cell r="F244">
            <v>1</v>
          </cell>
          <cell r="G244">
            <v>0</v>
          </cell>
          <cell r="H244">
            <v>0</v>
          </cell>
          <cell r="I244">
            <v>1</v>
          </cell>
          <cell r="J244">
            <v>1</v>
          </cell>
          <cell r="K244">
            <v>0</v>
          </cell>
          <cell r="L244">
            <v>0</v>
          </cell>
          <cell r="M244">
            <v>1</v>
          </cell>
          <cell r="N244">
            <v>3</v>
          </cell>
          <cell r="O244">
            <v>54714.55</v>
          </cell>
          <cell r="P244">
            <v>55</v>
          </cell>
        </row>
        <row r="245">
          <cell r="A245">
            <v>1.001</v>
          </cell>
          <cell r="C245" t="str">
            <v>NEPHRITIS &amp; NEPHROSIS                                                             </v>
          </cell>
          <cell r="D245">
            <v>0</v>
          </cell>
          <cell r="E245">
            <v>0</v>
          </cell>
          <cell r="F245">
            <v>0</v>
          </cell>
          <cell r="G245">
            <v>1</v>
          </cell>
          <cell r="H245">
            <v>0</v>
          </cell>
          <cell r="I245">
            <v>1</v>
          </cell>
          <cell r="J245">
            <v>0</v>
          </cell>
          <cell r="K245">
            <v>1</v>
          </cell>
          <cell r="L245">
            <v>0</v>
          </cell>
          <cell r="M245">
            <v>1</v>
          </cell>
          <cell r="N245">
            <v>7</v>
          </cell>
          <cell r="O245">
            <v>38281.65</v>
          </cell>
          <cell r="P245">
            <v>77</v>
          </cell>
        </row>
        <row r="246">
          <cell r="A246">
            <v>1.001</v>
          </cell>
          <cell r="C246" t="str">
            <v>OTHER KIDNEY, URINARY TRACT &amp; RELATED PROCEDURES                                  </v>
          </cell>
          <cell r="D246">
            <v>0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0</v>
          </cell>
          <cell r="K246">
            <v>1</v>
          </cell>
          <cell r="L246">
            <v>0</v>
          </cell>
          <cell r="M246">
            <v>1</v>
          </cell>
          <cell r="N246">
            <v>3</v>
          </cell>
          <cell r="O246">
            <v>31544.97</v>
          </cell>
          <cell r="P246">
            <v>26</v>
          </cell>
        </row>
        <row r="247">
          <cell r="A247">
            <v>1.001</v>
          </cell>
          <cell r="C247" t="str">
            <v>MALIGNANT BREAST DISORDERS                                                        </v>
          </cell>
          <cell r="D247">
            <v>0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1</v>
          </cell>
          <cell r="J247">
            <v>0</v>
          </cell>
          <cell r="K247">
            <v>1</v>
          </cell>
          <cell r="L247">
            <v>0</v>
          </cell>
          <cell r="M247">
            <v>1</v>
          </cell>
          <cell r="N247">
            <v>8</v>
          </cell>
          <cell r="O247">
            <v>54049.48</v>
          </cell>
          <cell r="P247">
            <v>41</v>
          </cell>
        </row>
        <row r="248">
          <cell r="A248">
            <v>1.001</v>
          </cell>
          <cell r="C248" t="str">
            <v>BREAST PROCEDURES EXCEPT MASTECTOMY                                               </v>
          </cell>
          <cell r="D248">
            <v>0</v>
          </cell>
          <cell r="E248">
            <v>0</v>
          </cell>
          <cell r="F248">
            <v>1</v>
          </cell>
          <cell r="G248">
            <v>0</v>
          </cell>
          <cell r="H248">
            <v>0</v>
          </cell>
          <cell r="I248">
            <v>1</v>
          </cell>
          <cell r="J248">
            <v>0</v>
          </cell>
          <cell r="K248">
            <v>1</v>
          </cell>
          <cell r="L248">
            <v>0</v>
          </cell>
          <cell r="M248">
            <v>1</v>
          </cell>
          <cell r="N248">
            <v>1</v>
          </cell>
          <cell r="O248">
            <v>11853.22</v>
          </cell>
          <cell r="P248">
            <v>52</v>
          </cell>
        </row>
        <row r="249">
          <cell r="A249">
            <v>1.001</v>
          </cell>
          <cell r="C249" t="str">
            <v>MUSCULOSKELETAL MALIGNANCY &amp; PATHOL FRACTURE D/T MUSCSKEL MALIG                   </v>
          </cell>
          <cell r="D249">
            <v>0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1</v>
          </cell>
          <cell r="J249">
            <v>0</v>
          </cell>
          <cell r="K249">
            <v>1</v>
          </cell>
          <cell r="L249">
            <v>0</v>
          </cell>
          <cell r="M249">
            <v>1</v>
          </cell>
          <cell r="N249">
            <v>4</v>
          </cell>
          <cell r="O249">
            <v>14399.9</v>
          </cell>
          <cell r="P249">
            <v>44</v>
          </cell>
        </row>
        <row r="250">
          <cell r="A250">
            <v>1.001</v>
          </cell>
          <cell r="C250" t="str">
            <v>HAND &amp; WRIST PROCEDURES                                                           </v>
          </cell>
          <cell r="D250">
            <v>0</v>
          </cell>
          <cell r="E250">
            <v>0</v>
          </cell>
          <cell r="F250">
            <v>1</v>
          </cell>
          <cell r="G250">
            <v>0</v>
          </cell>
          <cell r="H250">
            <v>0</v>
          </cell>
          <cell r="I250">
            <v>1</v>
          </cell>
          <cell r="J250">
            <v>1</v>
          </cell>
          <cell r="K250">
            <v>0</v>
          </cell>
          <cell r="L250">
            <v>0</v>
          </cell>
          <cell r="M250">
            <v>1</v>
          </cell>
          <cell r="N250">
            <v>6</v>
          </cell>
          <cell r="O250">
            <v>17251.38</v>
          </cell>
          <cell r="P250">
            <v>48</v>
          </cell>
        </row>
        <row r="251">
          <cell r="A251">
            <v>1.001</v>
          </cell>
          <cell r="C251" t="str">
            <v>OTHER HEPATOBILIARY, PANCREAS &amp; ABDOMINAL PROCEDURES                              </v>
          </cell>
          <cell r="D251">
            <v>0</v>
          </cell>
          <cell r="E251">
            <v>0</v>
          </cell>
          <cell r="F251">
            <v>1</v>
          </cell>
          <cell r="G251">
            <v>0</v>
          </cell>
          <cell r="H251">
            <v>0</v>
          </cell>
          <cell r="I251">
            <v>1</v>
          </cell>
          <cell r="J251">
            <v>0</v>
          </cell>
          <cell r="K251">
            <v>1</v>
          </cell>
          <cell r="L251">
            <v>0</v>
          </cell>
          <cell r="M251">
            <v>1</v>
          </cell>
          <cell r="N251">
            <v>13</v>
          </cell>
          <cell r="O251">
            <v>64664.12</v>
          </cell>
          <cell r="P251">
            <v>50</v>
          </cell>
        </row>
        <row r="252">
          <cell r="A252">
            <v>1.001</v>
          </cell>
          <cell r="C252" t="str">
            <v>MAJOR PANCREAS, LIVER &amp; SHUNT PROCEDURES                                          </v>
          </cell>
          <cell r="D252">
            <v>0</v>
          </cell>
          <cell r="E252">
            <v>0</v>
          </cell>
          <cell r="F252">
            <v>1</v>
          </cell>
          <cell r="G252">
            <v>0</v>
          </cell>
          <cell r="H252">
            <v>0</v>
          </cell>
          <cell r="I252">
            <v>1</v>
          </cell>
          <cell r="J252">
            <v>0</v>
          </cell>
          <cell r="K252">
            <v>1</v>
          </cell>
          <cell r="L252">
            <v>0</v>
          </cell>
          <cell r="M252">
            <v>1</v>
          </cell>
          <cell r="N252">
            <v>8</v>
          </cell>
          <cell r="O252">
            <v>70054.81</v>
          </cell>
          <cell r="P252">
            <v>51</v>
          </cell>
        </row>
        <row r="253">
          <cell r="A253">
            <v>1.001</v>
          </cell>
          <cell r="C253" t="str">
            <v>OTHER STOMACH, ESOPHAGEAL &amp; DUODENAL PROCEDURES                                   </v>
          </cell>
          <cell r="D253">
            <v>0</v>
          </cell>
          <cell r="E253">
            <v>0</v>
          </cell>
          <cell r="F253">
            <v>1</v>
          </cell>
          <cell r="G253">
            <v>0</v>
          </cell>
          <cell r="H253">
            <v>0</v>
          </cell>
          <cell r="I253">
            <v>1</v>
          </cell>
          <cell r="J253">
            <v>1</v>
          </cell>
          <cell r="K253">
            <v>0</v>
          </cell>
          <cell r="L253">
            <v>0</v>
          </cell>
          <cell r="M253">
            <v>1</v>
          </cell>
          <cell r="N253">
            <v>1</v>
          </cell>
          <cell r="O253">
            <v>22315.22</v>
          </cell>
          <cell r="P253">
            <v>47</v>
          </cell>
        </row>
        <row r="254">
          <cell r="A254">
            <v>1.001</v>
          </cell>
          <cell r="C254" t="str">
            <v>ACUTE &amp; SUBACUTE ENDOCARDITIS                                                     </v>
          </cell>
          <cell r="D254">
            <v>0</v>
          </cell>
          <cell r="E254">
            <v>0</v>
          </cell>
          <cell r="F254">
            <v>1</v>
          </cell>
          <cell r="G254">
            <v>0</v>
          </cell>
          <cell r="H254">
            <v>0</v>
          </cell>
          <cell r="I254">
            <v>1</v>
          </cell>
          <cell r="J254">
            <v>0</v>
          </cell>
          <cell r="K254">
            <v>1</v>
          </cell>
          <cell r="L254">
            <v>0</v>
          </cell>
          <cell r="M254">
            <v>1</v>
          </cell>
          <cell r="N254">
            <v>9</v>
          </cell>
          <cell r="O254">
            <v>62255.48</v>
          </cell>
          <cell r="P254">
            <v>55</v>
          </cell>
        </row>
        <row r="255">
          <cell r="A255">
            <v>1.001</v>
          </cell>
          <cell r="C255" t="str">
            <v>EAR, NOSE, MOUTH, THROAT, CRANIAL/FACIAL MALIGNANCIES                             </v>
          </cell>
          <cell r="D255">
            <v>0</v>
          </cell>
          <cell r="E255">
            <v>0</v>
          </cell>
          <cell r="F255">
            <v>1</v>
          </cell>
          <cell r="G255">
            <v>0</v>
          </cell>
          <cell r="H255">
            <v>0</v>
          </cell>
          <cell r="I255">
            <v>1</v>
          </cell>
          <cell r="J255">
            <v>1</v>
          </cell>
          <cell r="K255">
            <v>0</v>
          </cell>
          <cell r="L255">
            <v>0</v>
          </cell>
          <cell r="M255">
            <v>1</v>
          </cell>
          <cell r="N255">
            <v>11</v>
          </cell>
          <cell r="O255">
            <v>48739.88</v>
          </cell>
          <cell r="P255">
            <v>59</v>
          </cell>
        </row>
        <row r="256">
          <cell r="A256">
            <v>1.001</v>
          </cell>
          <cell r="C256" t="str">
            <v>CLEFT LIP &amp; PALATE REPAIR                                                         </v>
          </cell>
          <cell r="D256">
            <v>0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1</v>
          </cell>
          <cell r="J256">
            <v>1</v>
          </cell>
          <cell r="K256">
            <v>0</v>
          </cell>
          <cell r="L256">
            <v>0</v>
          </cell>
          <cell r="M256">
            <v>1</v>
          </cell>
          <cell r="N256">
            <v>1</v>
          </cell>
          <cell r="O256">
            <v>13064.91</v>
          </cell>
          <cell r="P256">
            <v>34</v>
          </cell>
        </row>
        <row r="257">
          <cell r="A257">
            <v>1.001</v>
          </cell>
          <cell r="C257" t="str">
            <v>EYE DISORDERS EXCEPT MAJOR INFECTIONS                                             </v>
          </cell>
          <cell r="D257">
            <v>0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1</v>
          </cell>
          <cell r="J257">
            <v>1</v>
          </cell>
          <cell r="K257">
            <v>0</v>
          </cell>
          <cell r="L257">
            <v>0</v>
          </cell>
          <cell r="M257">
            <v>1</v>
          </cell>
          <cell r="N257">
            <v>3</v>
          </cell>
          <cell r="O257">
            <v>25384.51</v>
          </cell>
          <cell r="P257">
            <v>36</v>
          </cell>
        </row>
        <row r="258">
          <cell r="A258">
            <v>1.001</v>
          </cell>
          <cell r="C258" t="str">
            <v>CONCUSSION, CLOSED SKULL FX NOS,UNCOMPLICATED INTRACRANIAL INJURY, COMA &lt; 1 HR OR </v>
          </cell>
          <cell r="D258">
            <v>0</v>
          </cell>
          <cell r="E258">
            <v>0</v>
          </cell>
          <cell r="F258">
            <v>1</v>
          </cell>
          <cell r="G258">
            <v>0</v>
          </cell>
          <cell r="H258">
            <v>0</v>
          </cell>
          <cell r="I258">
            <v>1</v>
          </cell>
          <cell r="J258">
            <v>1</v>
          </cell>
          <cell r="K258">
            <v>0</v>
          </cell>
          <cell r="L258">
            <v>0</v>
          </cell>
          <cell r="M258">
            <v>1</v>
          </cell>
          <cell r="N258">
            <v>4</v>
          </cell>
          <cell r="O258">
            <v>30639.61</v>
          </cell>
          <cell r="P258">
            <v>49</v>
          </cell>
        </row>
        <row r="259">
          <cell r="A259">
            <v>1.001</v>
          </cell>
          <cell r="C259" t="str">
            <v>TRACHEOSTOMY W LONG TERM MECHANICAL VENTILATION W EXTENSIVE PROCEDURE             </v>
          </cell>
          <cell r="D259">
            <v>0</v>
          </cell>
          <cell r="E259">
            <v>0</v>
          </cell>
          <cell r="F259">
            <v>0</v>
          </cell>
          <cell r="G259">
            <v>1</v>
          </cell>
          <cell r="H259">
            <v>0</v>
          </cell>
          <cell r="I259">
            <v>1</v>
          </cell>
          <cell r="J259">
            <v>0</v>
          </cell>
          <cell r="K259">
            <v>1</v>
          </cell>
          <cell r="L259">
            <v>0</v>
          </cell>
          <cell r="M259">
            <v>1</v>
          </cell>
          <cell r="N259">
            <v>38</v>
          </cell>
          <cell r="O259">
            <v>251010.71</v>
          </cell>
          <cell r="P259">
            <v>68</v>
          </cell>
        </row>
        <row r="260">
          <cell r="I260">
            <v>4286</v>
          </cell>
        </row>
        <row r="261">
          <cell r="I261">
            <v>7606</v>
          </cell>
        </row>
      </sheetData>
      <sheetData sheetId="19">
        <row r="5">
          <cell r="A5">
            <v>789</v>
          </cell>
          <cell r="B5" t="str">
            <v>drg</v>
          </cell>
          <cell r="C5" t="str">
            <v>NEONATE BIRTHWT &gt;2499G, NORMAL NEWBORN OR NEONATE W OTHER PROBLEM                 </v>
          </cell>
          <cell r="D5">
            <v>789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789</v>
          </cell>
          <cell r="J5">
            <v>425</v>
          </cell>
          <cell r="K5">
            <v>364</v>
          </cell>
          <cell r="L5">
            <v>0</v>
          </cell>
          <cell r="M5">
            <v>789</v>
          </cell>
          <cell r="N5">
            <v>1.9</v>
          </cell>
          <cell r="O5">
            <v>2202.31</v>
          </cell>
          <cell r="P5">
            <v>0</v>
          </cell>
        </row>
        <row r="6">
          <cell r="A6">
            <v>628</v>
          </cell>
          <cell r="C6" t="str">
            <v>VAGINAL DELIVERY                                                                  </v>
          </cell>
          <cell r="D6">
            <v>26</v>
          </cell>
          <cell r="E6">
            <v>602</v>
          </cell>
          <cell r="F6">
            <v>0</v>
          </cell>
          <cell r="G6">
            <v>0</v>
          </cell>
          <cell r="H6">
            <v>0</v>
          </cell>
          <cell r="I6">
            <v>628</v>
          </cell>
          <cell r="J6">
            <v>0</v>
          </cell>
          <cell r="K6">
            <v>628</v>
          </cell>
          <cell r="L6">
            <v>0</v>
          </cell>
          <cell r="M6">
            <v>628</v>
          </cell>
          <cell r="N6">
            <v>2</v>
          </cell>
          <cell r="O6">
            <v>6017.3</v>
          </cell>
          <cell r="P6">
            <v>25.3</v>
          </cell>
        </row>
        <row r="7">
          <cell r="A7">
            <v>258</v>
          </cell>
          <cell r="C7" t="str">
            <v>SEPTICEMIA &amp; DISSEMINATED INFECTIONS                                              </v>
          </cell>
          <cell r="D7">
            <v>8</v>
          </cell>
          <cell r="E7">
            <v>15</v>
          </cell>
          <cell r="F7">
            <v>61</v>
          </cell>
          <cell r="G7">
            <v>174</v>
          </cell>
          <cell r="H7">
            <v>0</v>
          </cell>
          <cell r="I7">
            <v>258</v>
          </cell>
          <cell r="J7">
            <v>119</v>
          </cell>
          <cell r="K7">
            <v>139</v>
          </cell>
          <cell r="L7">
            <v>0</v>
          </cell>
          <cell r="M7">
            <v>258</v>
          </cell>
          <cell r="N7">
            <v>7.9</v>
          </cell>
          <cell r="O7">
            <v>32503.57</v>
          </cell>
          <cell r="P7">
            <v>68.9</v>
          </cell>
        </row>
        <row r="8">
          <cell r="A8">
            <v>234</v>
          </cell>
          <cell r="C8" t="str">
            <v>CESAREAN DELIVERY                                                                 </v>
          </cell>
          <cell r="D8">
            <v>3</v>
          </cell>
          <cell r="E8">
            <v>231</v>
          </cell>
          <cell r="F8">
            <v>0</v>
          </cell>
          <cell r="G8">
            <v>0</v>
          </cell>
          <cell r="H8">
            <v>0</v>
          </cell>
          <cell r="I8">
            <v>234</v>
          </cell>
          <cell r="J8">
            <v>0</v>
          </cell>
          <cell r="K8">
            <v>234</v>
          </cell>
          <cell r="L8">
            <v>0</v>
          </cell>
          <cell r="M8">
            <v>234</v>
          </cell>
          <cell r="N8">
            <v>2.6</v>
          </cell>
          <cell r="O8">
            <v>11719.42</v>
          </cell>
          <cell r="P8">
            <v>26.8</v>
          </cell>
        </row>
        <row r="9">
          <cell r="A9">
            <v>210</v>
          </cell>
          <cell r="C9" t="str">
            <v>HEART FAILURE                                                                     </v>
          </cell>
          <cell r="D9">
            <v>0</v>
          </cell>
          <cell r="E9">
            <v>15</v>
          </cell>
          <cell r="F9">
            <v>49</v>
          </cell>
          <cell r="G9">
            <v>146</v>
          </cell>
          <cell r="H9">
            <v>0</v>
          </cell>
          <cell r="I9">
            <v>210</v>
          </cell>
          <cell r="J9">
            <v>107</v>
          </cell>
          <cell r="K9">
            <v>103</v>
          </cell>
          <cell r="L9">
            <v>0</v>
          </cell>
          <cell r="M9">
            <v>210</v>
          </cell>
          <cell r="N9">
            <v>3.9</v>
          </cell>
          <cell r="O9">
            <v>14024.94</v>
          </cell>
          <cell r="P9">
            <v>71.3</v>
          </cell>
        </row>
        <row r="10">
          <cell r="A10">
            <v>193</v>
          </cell>
          <cell r="C10" t="str">
            <v>CHRONIC OBSTRUCTIVE PULMONARY DISEASE                                             </v>
          </cell>
          <cell r="D10">
            <v>0</v>
          </cell>
          <cell r="E10">
            <v>5</v>
          </cell>
          <cell r="F10">
            <v>73</v>
          </cell>
          <cell r="G10">
            <v>115</v>
          </cell>
          <cell r="H10">
            <v>0</v>
          </cell>
          <cell r="I10">
            <v>193</v>
          </cell>
          <cell r="J10">
            <v>84</v>
          </cell>
          <cell r="K10">
            <v>109</v>
          </cell>
          <cell r="L10">
            <v>0</v>
          </cell>
          <cell r="M10">
            <v>193</v>
          </cell>
          <cell r="N10">
            <v>4</v>
          </cell>
          <cell r="O10">
            <v>12748.87</v>
          </cell>
          <cell r="P10">
            <v>68.1</v>
          </cell>
        </row>
        <row r="11">
          <cell r="A11">
            <v>157</v>
          </cell>
          <cell r="C11" t="str">
            <v>PULMONARY EDEMA &amp; RESPIRATORY FAILURE                                             </v>
          </cell>
          <cell r="D11">
            <v>0</v>
          </cell>
          <cell r="E11">
            <v>12</v>
          </cell>
          <cell r="F11">
            <v>64</v>
          </cell>
          <cell r="G11">
            <v>81</v>
          </cell>
          <cell r="H11">
            <v>0</v>
          </cell>
          <cell r="I11">
            <v>157</v>
          </cell>
          <cell r="J11">
            <v>71</v>
          </cell>
          <cell r="K11">
            <v>86</v>
          </cell>
          <cell r="L11">
            <v>0</v>
          </cell>
          <cell r="M11">
            <v>157</v>
          </cell>
          <cell r="N11">
            <v>5.3</v>
          </cell>
          <cell r="O11">
            <v>22476.47</v>
          </cell>
          <cell r="P11">
            <v>64.4</v>
          </cell>
        </row>
        <row r="12">
          <cell r="A12">
            <v>134</v>
          </cell>
          <cell r="C12" t="str">
            <v>OTHER PNEUMONIA                                                                   </v>
          </cell>
          <cell r="D12">
            <v>19</v>
          </cell>
          <cell r="E12">
            <v>15</v>
          </cell>
          <cell r="F12">
            <v>28</v>
          </cell>
          <cell r="G12">
            <v>72</v>
          </cell>
          <cell r="H12">
            <v>0</v>
          </cell>
          <cell r="I12">
            <v>134</v>
          </cell>
          <cell r="J12">
            <v>59</v>
          </cell>
          <cell r="K12">
            <v>75</v>
          </cell>
          <cell r="L12">
            <v>0</v>
          </cell>
          <cell r="M12">
            <v>134</v>
          </cell>
          <cell r="N12">
            <v>4.3</v>
          </cell>
          <cell r="O12">
            <v>14569.27</v>
          </cell>
          <cell r="P12">
            <v>57.9</v>
          </cell>
        </row>
        <row r="13">
          <cell r="A13">
            <v>114</v>
          </cell>
          <cell r="C13" t="str">
            <v>CELLULITIS &amp; OTHER BACTERIAL SKIN INFECTIONS                                      </v>
          </cell>
          <cell r="D13">
            <v>3</v>
          </cell>
          <cell r="E13">
            <v>27</v>
          </cell>
          <cell r="F13">
            <v>32</v>
          </cell>
          <cell r="G13">
            <v>52</v>
          </cell>
          <cell r="H13">
            <v>0</v>
          </cell>
          <cell r="I13">
            <v>114</v>
          </cell>
          <cell r="J13">
            <v>50</v>
          </cell>
          <cell r="K13">
            <v>64</v>
          </cell>
          <cell r="L13">
            <v>0</v>
          </cell>
          <cell r="M13">
            <v>114</v>
          </cell>
          <cell r="N13">
            <v>4.1</v>
          </cell>
          <cell r="O13">
            <v>11693.14</v>
          </cell>
          <cell r="P13">
            <v>57.3</v>
          </cell>
        </row>
        <row r="14">
          <cell r="A14">
            <v>108</v>
          </cell>
          <cell r="C14" t="str">
            <v>PERCUTANEOUS CARDIOVASCULAR PROCEDURES W/O AMI                                    </v>
          </cell>
          <cell r="D14">
            <v>0</v>
          </cell>
          <cell r="E14">
            <v>3</v>
          </cell>
          <cell r="F14">
            <v>55</v>
          </cell>
          <cell r="G14">
            <v>50</v>
          </cell>
          <cell r="H14">
            <v>0</v>
          </cell>
          <cell r="I14">
            <v>108</v>
          </cell>
          <cell r="J14">
            <v>63</v>
          </cell>
          <cell r="K14">
            <v>45</v>
          </cell>
          <cell r="L14">
            <v>0</v>
          </cell>
          <cell r="M14">
            <v>108</v>
          </cell>
          <cell r="N14">
            <v>3.2</v>
          </cell>
          <cell r="O14">
            <v>40674.07</v>
          </cell>
          <cell r="P14">
            <v>64.6</v>
          </cell>
        </row>
        <row r="15">
          <cell r="A15">
            <v>89</v>
          </cell>
          <cell r="C15" t="str">
            <v>CARDIAC ARRHYTHMIA &amp; CONDUCTION DISORDERS                                         </v>
          </cell>
          <cell r="D15">
            <v>0</v>
          </cell>
          <cell r="E15">
            <v>5</v>
          </cell>
          <cell r="F15">
            <v>30</v>
          </cell>
          <cell r="G15">
            <v>54</v>
          </cell>
          <cell r="H15">
            <v>0</v>
          </cell>
          <cell r="I15">
            <v>89</v>
          </cell>
          <cell r="J15">
            <v>40</v>
          </cell>
          <cell r="K15">
            <v>49</v>
          </cell>
          <cell r="L15">
            <v>0</v>
          </cell>
          <cell r="M15">
            <v>89</v>
          </cell>
          <cell r="N15">
            <v>2.8</v>
          </cell>
          <cell r="O15">
            <v>11707.2</v>
          </cell>
          <cell r="P15">
            <v>69.5</v>
          </cell>
        </row>
        <row r="16">
          <cell r="A16">
            <v>86</v>
          </cell>
          <cell r="C16" t="str">
            <v>RENAL FAILURE                                                                     </v>
          </cell>
          <cell r="D16">
            <v>0</v>
          </cell>
          <cell r="E16">
            <v>13</v>
          </cell>
          <cell r="F16">
            <v>21</v>
          </cell>
          <cell r="G16">
            <v>52</v>
          </cell>
          <cell r="H16">
            <v>0</v>
          </cell>
          <cell r="I16">
            <v>86</v>
          </cell>
          <cell r="J16">
            <v>43</v>
          </cell>
          <cell r="K16">
            <v>43</v>
          </cell>
          <cell r="L16">
            <v>0</v>
          </cell>
          <cell r="M16">
            <v>86</v>
          </cell>
          <cell r="N16">
            <v>4.3</v>
          </cell>
          <cell r="O16">
            <v>15193.68</v>
          </cell>
          <cell r="P16">
            <v>67.5</v>
          </cell>
        </row>
        <row r="17">
          <cell r="A17">
            <v>79</v>
          </cell>
          <cell r="C17" t="str">
            <v>CVA &amp; PRECEREBRAL OCCLUSION  W INFARCT                                            </v>
          </cell>
          <cell r="D17">
            <v>0</v>
          </cell>
          <cell r="E17">
            <v>4</v>
          </cell>
          <cell r="F17">
            <v>25</v>
          </cell>
          <cell r="G17">
            <v>50</v>
          </cell>
          <cell r="H17">
            <v>0</v>
          </cell>
          <cell r="I17">
            <v>79</v>
          </cell>
          <cell r="J17">
            <v>36</v>
          </cell>
          <cell r="K17">
            <v>43</v>
          </cell>
          <cell r="L17">
            <v>0</v>
          </cell>
          <cell r="M17">
            <v>79</v>
          </cell>
          <cell r="N17">
            <v>4.1</v>
          </cell>
          <cell r="O17">
            <v>20212.4</v>
          </cell>
          <cell r="P17">
            <v>68.4</v>
          </cell>
        </row>
        <row r="18">
          <cell r="A18">
            <v>73</v>
          </cell>
          <cell r="C18" t="str">
            <v>MAJOR RESPIRATORY INFECTIONS &amp; INFLAMMATIONS                                      </v>
          </cell>
          <cell r="D18">
            <v>0</v>
          </cell>
          <cell r="E18">
            <v>3</v>
          </cell>
          <cell r="F18">
            <v>19</v>
          </cell>
          <cell r="G18">
            <v>51</v>
          </cell>
          <cell r="H18">
            <v>0</v>
          </cell>
          <cell r="I18">
            <v>73</v>
          </cell>
          <cell r="J18">
            <v>45</v>
          </cell>
          <cell r="K18">
            <v>28</v>
          </cell>
          <cell r="L18">
            <v>0</v>
          </cell>
          <cell r="M18">
            <v>73</v>
          </cell>
          <cell r="N18">
            <v>7</v>
          </cell>
          <cell r="O18">
            <v>24521.36</v>
          </cell>
          <cell r="P18">
            <v>72.5</v>
          </cell>
        </row>
        <row r="19">
          <cell r="A19">
            <v>71</v>
          </cell>
          <cell r="C19" t="str">
            <v>PERCUTANEOUS CARDIOVASCULAR PROCEDURES W AMI                                      </v>
          </cell>
          <cell r="D19">
            <v>0</v>
          </cell>
          <cell r="E19">
            <v>4</v>
          </cell>
          <cell r="F19">
            <v>32</v>
          </cell>
          <cell r="G19">
            <v>35</v>
          </cell>
          <cell r="H19">
            <v>0</v>
          </cell>
          <cell r="I19">
            <v>71</v>
          </cell>
          <cell r="J19">
            <v>40</v>
          </cell>
          <cell r="K19">
            <v>31</v>
          </cell>
          <cell r="L19">
            <v>0</v>
          </cell>
          <cell r="M19">
            <v>71</v>
          </cell>
          <cell r="N19">
            <v>4.1</v>
          </cell>
          <cell r="O19">
            <v>46778.79</v>
          </cell>
          <cell r="P19">
            <v>63.9</v>
          </cell>
        </row>
        <row r="20">
          <cell r="A20">
            <v>58.001</v>
          </cell>
          <cell r="C20" t="str">
            <v>KIDNEY &amp; URINARY TRACT INFECTIONS                                                 </v>
          </cell>
          <cell r="D20">
            <v>8</v>
          </cell>
          <cell r="E20">
            <v>4</v>
          </cell>
          <cell r="F20">
            <v>8</v>
          </cell>
          <cell r="G20">
            <v>38</v>
          </cell>
          <cell r="H20">
            <v>0</v>
          </cell>
          <cell r="I20">
            <v>58</v>
          </cell>
          <cell r="J20">
            <v>14</v>
          </cell>
          <cell r="K20">
            <v>44</v>
          </cell>
          <cell r="L20">
            <v>0</v>
          </cell>
          <cell r="M20">
            <v>58</v>
          </cell>
          <cell r="N20">
            <v>3.6</v>
          </cell>
          <cell r="O20">
            <v>10671.46</v>
          </cell>
          <cell r="P20">
            <v>62.3</v>
          </cell>
        </row>
        <row r="21">
          <cell r="A21">
            <v>58.001</v>
          </cell>
          <cell r="C21" t="str">
            <v>LAPAROSCOPIC CHOLECYSTECTOMY                                                      </v>
          </cell>
          <cell r="D21">
            <v>0</v>
          </cell>
          <cell r="E21">
            <v>24</v>
          </cell>
          <cell r="F21">
            <v>22</v>
          </cell>
          <cell r="G21">
            <v>12</v>
          </cell>
          <cell r="H21">
            <v>0</v>
          </cell>
          <cell r="I21">
            <v>58</v>
          </cell>
          <cell r="J21">
            <v>18</v>
          </cell>
          <cell r="K21">
            <v>40</v>
          </cell>
          <cell r="L21">
            <v>0</v>
          </cell>
          <cell r="M21">
            <v>58</v>
          </cell>
          <cell r="N21">
            <v>3</v>
          </cell>
          <cell r="O21">
            <v>24048.4</v>
          </cell>
          <cell r="P21">
            <v>49.1</v>
          </cell>
        </row>
        <row r="22">
          <cell r="A22">
            <v>58</v>
          </cell>
          <cell r="C22" t="str">
            <v>ACUTE MYOCARDIAL INFARCTION                                                       </v>
          </cell>
          <cell r="D22">
            <v>0</v>
          </cell>
          <cell r="E22">
            <v>4</v>
          </cell>
          <cell r="F22">
            <v>11</v>
          </cell>
          <cell r="G22">
            <v>43</v>
          </cell>
          <cell r="H22">
            <v>0</v>
          </cell>
          <cell r="I22">
            <v>58</v>
          </cell>
          <cell r="J22">
            <v>31</v>
          </cell>
          <cell r="K22">
            <v>27</v>
          </cell>
          <cell r="L22">
            <v>0</v>
          </cell>
          <cell r="M22">
            <v>58</v>
          </cell>
          <cell r="N22">
            <v>3.5</v>
          </cell>
          <cell r="O22">
            <v>20564.9</v>
          </cell>
          <cell r="P22">
            <v>71.8</v>
          </cell>
        </row>
        <row r="23">
          <cell r="A23">
            <v>55</v>
          </cell>
          <cell r="C23" t="str">
            <v>PERIPHERAL &amp; OTHER VASCULAR DISORDERS                                             </v>
          </cell>
          <cell r="D23">
            <v>0</v>
          </cell>
          <cell r="E23">
            <v>13</v>
          </cell>
          <cell r="F23">
            <v>16</v>
          </cell>
          <cell r="G23">
            <v>26</v>
          </cell>
          <cell r="H23">
            <v>0</v>
          </cell>
          <cell r="I23">
            <v>55</v>
          </cell>
          <cell r="J23">
            <v>26</v>
          </cell>
          <cell r="K23">
            <v>29</v>
          </cell>
          <cell r="L23">
            <v>0</v>
          </cell>
          <cell r="M23">
            <v>55</v>
          </cell>
          <cell r="N23">
            <v>3.3</v>
          </cell>
          <cell r="O23">
            <v>10298.79</v>
          </cell>
          <cell r="P23">
            <v>62.1</v>
          </cell>
        </row>
        <row r="24">
          <cell r="A24">
            <v>51.001</v>
          </cell>
          <cell r="C24" t="str">
            <v>OTHER ANEMIA &amp; DISORDERS OF BLOOD &amp; BLOOD-FORMING ORGANS                          </v>
          </cell>
          <cell r="D24">
            <v>1</v>
          </cell>
          <cell r="E24">
            <v>3</v>
          </cell>
          <cell r="F24">
            <v>14</v>
          </cell>
          <cell r="G24">
            <v>33</v>
          </cell>
          <cell r="H24">
            <v>0</v>
          </cell>
          <cell r="I24">
            <v>51</v>
          </cell>
          <cell r="J24">
            <v>28</v>
          </cell>
          <cell r="K24">
            <v>23</v>
          </cell>
          <cell r="L24">
            <v>0</v>
          </cell>
          <cell r="M24">
            <v>51</v>
          </cell>
          <cell r="N24">
            <v>2.9</v>
          </cell>
          <cell r="O24">
            <v>12390.3</v>
          </cell>
          <cell r="P24">
            <v>67.5</v>
          </cell>
        </row>
        <row r="25">
          <cell r="A25">
            <v>51</v>
          </cell>
          <cell r="C25" t="str">
            <v>NON-BACTERIAL GASTROENTERITIS, NAUSEA &amp; VOMITING                                  </v>
          </cell>
          <cell r="D25">
            <v>4</v>
          </cell>
          <cell r="E25">
            <v>11</v>
          </cell>
          <cell r="F25">
            <v>20</v>
          </cell>
          <cell r="G25">
            <v>16</v>
          </cell>
          <cell r="H25">
            <v>0</v>
          </cell>
          <cell r="I25">
            <v>51</v>
          </cell>
          <cell r="J25">
            <v>21</v>
          </cell>
          <cell r="K25">
            <v>30</v>
          </cell>
          <cell r="L25">
            <v>0</v>
          </cell>
          <cell r="M25">
            <v>51</v>
          </cell>
          <cell r="N25">
            <v>3.1</v>
          </cell>
          <cell r="O25">
            <v>12634.31</v>
          </cell>
          <cell r="P25">
            <v>53.1</v>
          </cell>
        </row>
        <row r="26">
          <cell r="A26">
            <v>50</v>
          </cell>
          <cell r="C26" t="str">
            <v>MAJOR SMALL &amp; LARGE BOWEL PROCEDURES                                              </v>
          </cell>
          <cell r="D26">
            <v>2</v>
          </cell>
          <cell r="E26">
            <v>3</v>
          </cell>
          <cell r="F26">
            <v>19</v>
          </cell>
          <cell r="G26">
            <v>26</v>
          </cell>
          <cell r="H26">
            <v>0</v>
          </cell>
          <cell r="I26">
            <v>50</v>
          </cell>
          <cell r="J26">
            <v>22</v>
          </cell>
          <cell r="K26">
            <v>28</v>
          </cell>
          <cell r="L26">
            <v>0</v>
          </cell>
          <cell r="M26">
            <v>50</v>
          </cell>
          <cell r="N26">
            <v>9.5</v>
          </cell>
          <cell r="O26">
            <v>55178.75</v>
          </cell>
          <cell r="P26">
            <v>63.5</v>
          </cell>
        </row>
        <row r="27">
          <cell r="A27">
            <v>48</v>
          </cell>
          <cell r="C27" t="str">
            <v>DIABETES                                                                          </v>
          </cell>
          <cell r="D27">
            <v>0</v>
          </cell>
          <cell r="E27">
            <v>22</v>
          </cell>
          <cell r="F27">
            <v>13</v>
          </cell>
          <cell r="G27">
            <v>13</v>
          </cell>
          <cell r="H27">
            <v>0</v>
          </cell>
          <cell r="I27">
            <v>48</v>
          </cell>
          <cell r="J27">
            <v>27</v>
          </cell>
          <cell r="K27">
            <v>21</v>
          </cell>
          <cell r="L27">
            <v>0</v>
          </cell>
          <cell r="M27">
            <v>48</v>
          </cell>
          <cell r="N27">
            <v>3.1</v>
          </cell>
          <cell r="O27">
            <v>11574.58</v>
          </cell>
          <cell r="P27">
            <v>50.6</v>
          </cell>
        </row>
        <row r="28">
          <cell r="A28">
            <v>47</v>
          </cell>
          <cell r="C28" t="str">
            <v>CARDIAC CATHETERIZATION FOR ISCHEMIC HEART DISEASE                                </v>
          </cell>
          <cell r="D28">
            <v>0</v>
          </cell>
          <cell r="E28">
            <v>6</v>
          </cell>
          <cell r="F28">
            <v>25</v>
          </cell>
          <cell r="G28">
            <v>16</v>
          </cell>
          <cell r="H28">
            <v>0</v>
          </cell>
          <cell r="I28">
            <v>47</v>
          </cell>
          <cell r="J28">
            <v>18</v>
          </cell>
          <cell r="K28">
            <v>29</v>
          </cell>
          <cell r="L28">
            <v>0</v>
          </cell>
          <cell r="M28">
            <v>47</v>
          </cell>
          <cell r="N28">
            <v>2.7</v>
          </cell>
          <cell r="O28">
            <v>21033.38</v>
          </cell>
          <cell r="P28">
            <v>58.8</v>
          </cell>
        </row>
        <row r="29">
          <cell r="A29">
            <v>44.001</v>
          </cell>
          <cell r="C29" t="str">
            <v>POISONING OF MEDICINAL AGENTS                                                     </v>
          </cell>
          <cell r="D29">
            <v>0</v>
          </cell>
          <cell r="E29">
            <v>20</v>
          </cell>
          <cell r="F29">
            <v>17</v>
          </cell>
          <cell r="G29">
            <v>7</v>
          </cell>
          <cell r="H29">
            <v>0</v>
          </cell>
          <cell r="I29">
            <v>44</v>
          </cell>
          <cell r="J29">
            <v>18</v>
          </cell>
          <cell r="K29">
            <v>26</v>
          </cell>
          <cell r="L29">
            <v>0</v>
          </cell>
          <cell r="M29">
            <v>44</v>
          </cell>
          <cell r="N29">
            <v>3</v>
          </cell>
          <cell r="O29">
            <v>16280.35</v>
          </cell>
          <cell r="P29">
            <v>48</v>
          </cell>
        </row>
        <row r="30">
          <cell r="A30">
            <v>44</v>
          </cell>
          <cell r="C30" t="str">
            <v>SYNCOPE &amp; COLLAPSE                                                                </v>
          </cell>
          <cell r="D30">
            <v>0</v>
          </cell>
          <cell r="E30">
            <v>1</v>
          </cell>
          <cell r="F30">
            <v>13</v>
          </cell>
          <cell r="G30">
            <v>30</v>
          </cell>
          <cell r="H30">
            <v>0</v>
          </cell>
          <cell r="I30">
            <v>44</v>
          </cell>
          <cell r="J30">
            <v>17</v>
          </cell>
          <cell r="K30">
            <v>27</v>
          </cell>
          <cell r="L30">
            <v>0</v>
          </cell>
          <cell r="M30">
            <v>44</v>
          </cell>
          <cell r="N30">
            <v>2.3</v>
          </cell>
          <cell r="O30">
            <v>11374.89</v>
          </cell>
          <cell r="P30">
            <v>71.9</v>
          </cell>
        </row>
        <row r="31">
          <cell r="A31">
            <v>42.001</v>
          </cell>
          <cell r="C31" t="str">
            <v>ANGINA PECTORIS &amp; CORONARY ATHEROSCLEROSIS                                        </v>
          </cell>
          <cell r="D31">
            <v>0</v>
          </cell>
          <cell r="E31">
            <v>4</v>
          </cell>
          <cell r="F31">
            <v>17</v>
          </cell>
          <cell r="G31">
            <v>21</v>
          </cell>
          <cell r="H31">
            <v>0</v>
          </cell>
          <cell r="I31">
            <v>42</v>
          </cell>
          <cell r="J31">
            <v>26</v>
          </cell>
          <cell r="K31">
            <v>16</v>
          </cell>
          <cell r="L31">
            <v>0</v>
          </cell>
          <cell r="M31">
            <v>42</v>
          </cell>
          <cell r="N31">
            <v>2.2</v>
          </cell>
          <cell r="O31">
            <v>9393.04</v>
          </cell>
          <cell r="P31">
            <v>65.8</v>
          </cell>
        </row>
        <row r="32">
          <cell r="A32">
            <v>42</v>
          </cell>
          <cell r="C32" t="str">
            <v>SEIZURE                                                                           </v>
          </cell>
          <cell r="D32">
            <v>4</v>
          </cell>
          <cell r="E32">
            <v>12</v>
          </cell>
          <cell r="F32">
            <v>15</v>
          </cell>
          <cell r="G32">
            <v>11</v>
          </cell>
          <cell r="H32">
            <v>0</v>
          </cell>
          <cell r="I32">
            <v>42</v>
          </cell>
          <cell r="J32">
            <v>18</v>
          </cell>
          <cell r="K32">
            <v>24</v>
          </cell>
          <cell r="L32">
            <v>0</v>
          </cell>
          <cell r="M32">
            <v>42</v>
          </cell>
          <cell r="N32">
            <v>2.5</v>
          </cell>
          <cell r="O32">
            <v>13452</v>
          </cell>
          <cell r="P32">
            <v>48.5</v>
          </cell>
        </row>
        <row r="33">
          <cell r="A33">
            <v>41</v>
          </cell>
          <cell r="C33" t="str">
            <v>INFECTIOUS &amp; PARASITIC DISEASES INCLUDING HIV W O.R. PROCEDURE                    </v>
          </cell>
          <cell r="D33">
            <v>1</v>
          </cell>
          <cell r="E33">
            <v>0</v>
          </cell>
          <cell r="F33">
            <v>15</v>
          </cell>
          <cell r="G33">
            <v>25</v>
          </cell>
          <cell r="H33">
            <v>0</v>
          </cell>
          <cell r="I33">
            <v>41</v>
          </cell>
          <cell r="J33">
            <v>22</v>
          </cell>
          <cell r="K33">
            <v>19</v>
          </cell>
          <cell r="L33">
            <v>0</v>
          </cell>
          <cell r="M33">
            <v>41</v>
          </cell>
          <cell r="N33">
            <v>11.1</v>
          </cell>
          <cell r="O33">
            <v>65725.29</v>
          </cell>
          <cell r="P33">
            <v>67.5</v>
          </cell>
        </row>
        <row r="34">
          <cell r="A34">
            <v>39.001</v>
          </cell>
          <cell r="C34" t="str">
            <v>OTHER &amp; UNSPECIFIED GASTROINTESTINAL HEMORRHAGE                                   </v>
          </cell>
          <cell r="D34">
            <v>0</v>
          </cell>
          <cell r="E34">
            <v>0</v>
          </cell>
          <cell r="F34">
            <v>9</v>
          </cell>
          <cell r="G34">
            <v>30</v>
          </cell>
          <cell r="H34">
            <v>0</v>
          </cell>
          <cell r="I34">
            <v>39</v>
          </cell>
          <cell r="J34">
            <v>18</v>
          </cell>
          <cell r="K34">
            <v>21</v>
          </cell>
          <cell r="L34">
            <v>0</v>
          </cell>
          <cell r="M34">
            <v>39</v>
          </cell>
          <cell r="N34">
            <v>4.1</v>
          </cell>
          <cell r="O34">
            <v>16124.82</v>
          </cell>
          <cell r="P34">
            <v>74.1</v>
          </cell>
        </row>
        <row r="35">
          <cell r="A35">
            <v>39</v>
          </cell>
          <cell r="C35" t="str">
            <v>PERM CARDIAC PACEMAKER IMPLANT W/O AMI, HEART FAILURE OR SHOCK                    </v>
          </cell>
          <cell r="D35">
            <v>0</v>
          </cell>
          <cell r="E35">
            <v>1</v>
          </cell>
          <cell r="F35">
            <v>3</v>
          </cell>
          <cell r="G35">
            <v>35</v>
          </cell>
          <cell r="H35">
            <v>0</v>
          </cell>
          <cell r="I35">
            <v>39</v>
          </cell>
          <cell r="J35">
            <v>18</v>
          </cell>
          <cell r="K35">
            <v>21</v>
          </cell>
          <cell r="L35">
            <v>0</v>
          </cell>
          <cell r="M35">
            <v>39</v>
          </cell>
          <cell r="N35">
            <v>3.7</v>
          </cell>
          <cell r="O35">
            <v>45418.08</v>
          </cell>
          <cell r="P35">
            <v>76.4</v>
          </cell>
        </row>
        <row r="36">
          <cell r="A36">
            <v>38.001</v>
          </cell>
          <cell r="C36" t="str">
            <v>DISORDERS OF PANCREAS EXCEPT MALIGNANCY                                           </v>
          </cell>
          <cell r="D36">
            <v>0</v>
          </cell>
          <cell r="E36">
            <v>12</v>
          </cell>
          <cell r="F36">
            <v>12</v>
          </cell>
          <cell r="G36">
            <v>14</v>
          </cell>
          <cell r="H36">
            <v>0</v>
          </cell>
          <cell r="I36">
            <v>38</v>
          </cell>
          <cell r="J36">
            <v>20</v>
          </cell>
          <cell r="K36">
            <v>18</v>
          </cell>
          <cell r="L36">
            <v>0</v>
          </cell>
          <cell r="M36">
            <v>38</v>
          </cell>
          <cell r="N36">
            <v>4</v>
          </cell>
          <cell r="O36">
            <v>14665.81</v>
          </cell>
          <cell r="P36">
            <v>55.4</v>
          </cell>
        </row>
        <row r="37">
          <cell r="A37">
            <v>38</v>
          </cell>
          <cell r="C37" t="str">
            <v>OTHER DIGESTIVE SYSTEM DIAGNOSES                                                  </v>
          </cell>
          <cell r="D37">
            <v>0</v>
          </cell>
          <cell r="E37">
            <v>6</v>
          </cell>
          <cell r="F37">
            <v>12</v>
          </cell>
          <cell r="G37">
            <v>20</v>
          </cell>
          <cell r="H37">
            <v>0</v>
          </cell>
          <cell r="I37">
            <v>38</v>
          </cell>
          <cell r="J37">
            <v>14</v>
          </cell>
          <cell r="K37">
            <v>24</v>
          </cell>
          <cell r="L37">
            <v>0</v>
          </cell>
          <cell r="M37">
            <v>38</v>
          </cell>
          <cell r="N37">
            <v>3.3</v>
          </cell>
          <cell r="O37">
            <v>11301.28</v>
          </cell>
          <cell r="P37">
            <v>64.8</v>
          </cell>
        </row>
        <row r="38">
          <cell r="A38">
            <v>34</v>
          </cell>
          <cell r="C38" t="str">
            <v>CARDIAC CATHETERIZATION W CIRC DISORD EXC ISCHEMIC HEART DISEASE                  </v>
          </cell>
          <cell r="D38">
            <v>0</v>
          </cell>
          <cell r="E38">
            <v>9</v>
          </cell>
          <cell r="F38">
            <v>11</v>
          </cell>
          <cell r="G38">
            <v>14</v>
          </cell>
          <cell r="H38">
            <v>0</v>
          </cell>
          <cell r="I38">
            <v>34</v>
          </cell>
          <cell r="J38">
            <v>19</v>
          </cell>
          <cell r="K38">
            <v>15</v>
          </cell>
          <cell r="L38">
            <v>0</v>
          </cell>
          <cell r="M38">
            <v>34</v>
          </cell>
          <cell r="N38">
            <v>4.1</v>
          </cell>
          <cell r="O38">
            <v>26214.9</v>
          </cell>
          <cell r="P38">
            <v>60</v>
          </cell>
        </row>
        <row r="39">
          <cell r="A39">
            <v>32.001</v>
          </cell>
          <cell r="C39" t="str">
            <v>ASTHMA                                                                            </v>
          </cell>
          <cell r="D39">
            <v>9</v>
          </cell>
          <cell r="E39">
            <v>14</v>
          </cell>
          <cell r="F39">
            <v>6</v>
          </cell>
          <cell r="G39">
            <v>3</v>
          </cell>
          <cell r="H39">
            <v>0</v>
          </cell>
          <cell r="I39">
            <v>32</v>
          </cell>
          <cell r="J39">
            <v>6</v>
          </cell>
          <cell r="K39">
            <v>26</v>
          </cell>
          <cell r="L39">
            <v>0</v>
          </cell>
          <cell r="M39">
            <v>32</v>
          </cell>
          <cell r="N39">
            <v>3</v>
          </cell>
          <cell r="O39">
            <v>8015.13</v>
          </cell>
          <cell r="P39">
            <v>35.3</v>
          </cell>
        </row>
        <row r="40">
          <cell r="A40">
            <v>32</v>
          </cell>
          <cell r="C40" t="str">
            <v>NONTRAUMATIC STUPOR &amp; COMA                                                        </v>
          </cell>
          <cell r="D40">
            <v>0</v>
          </cell>
          <cell r="E40">
            <v>1</v>
          </cell>
          <cell r="F40">
            <v>9</v>
          </cell>
          <cell r="G40">
            <v>22</v>
          </cell>
          <cell r="H40">
            <v>0</v>
          </cell>
          <cell r="I40">
            <v>32</v>
          </cell>
          <cell r="J40">
            <v>18</v>
          </cell>
          <cell r="K40">
            <v>14</v>
          </cell>
          <cell r="L40">
            <v>0</v>
          </cell>
          <cell r="M40">
            <v>32</v>
          </cell>
          <cell r="N40">
            <v>5.3</v>
          </cell>
          <cell r="O40">
            <v>16512.46</v>
          </cell>
          <cell r="P40">
            <v>71.3</v>
          </cell>
        </row>
        <row r="41">
          <cell r="A41">
            <v>30.001</v>
          </cell>
          <cell r="C41" t="str">
            <v>NEONATE BWT 2000-2499G, NORMAL NEWBORN OR NEONATE W OTHER PROBLEM                 </v>
          </cell>
          <cell r="D41">
            <v>30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30</v>
          </cell>
          <cell r="J41">
            <v>13</v>
          </cell>
          <cell r="K41">
            <v>17</v>
          </cell>
          <cell r="L41">
            <v>0</v>
          </cell>
          <cell r="M41">
            <v>30</v>
          </cell>
          <cell r="N41">
            <v>2.8</v>
          </cell>
          <cell r="O41">
            <v>3156.2</v>
          </cell>
          <cell r="P41">
            <v>0</v>
          </cell>
        </row>
        <row r="42">
          <cell r="A42">
            <v>30.001</v>
          </cell>
          <cell r="C42" t="str">
            <v>APPENDECTOMY                                                                      </v>
          </cell>
          <cell r="D42">
            <v>7</v>
          </cell>
          <cell r="E42">
            <v>9</v>
          </cell>
          <cell r="F42">
            <v>10</v>
          </cell>
          <cell r="G42">
            <v>4</v>
          </cell>
          <cell r="H42">
            <v>0</v>
          </cell>
          <cell r="I42">
            <v>30</v>
          </cell>
          <cell r="J42">
            <v>10</v>
          </cell>
          <cell r="K42">
            <v>20</v>
          </cell>
          <cell r="L42">
            <v>0</v>
          </cell>
          <cell r="M42">
            <v>30</v>
          </cell>
          <cell r="N42">
            <v>3.4</v>
          </cell>
          <cell r="O42">
            <v>23739.23</v>
          </cell>
          <cell r="P42">
            <v>38.8</v>
          </cell>
        </row>
        <row r="43">
          <cell r="A43">
            <v>30</v>
          </cell>
          <cell r="C43" t="str">
            <v>RESPIRATORY SIGNS, SYMPTOMS &amp; MINOR DIAGNOSES                                     </v>
          </cell>
          <cell r="D43">
            <v>0</v>
          </cell>
          <cell r="E43">
            <v>7</v>
          </cell>
          <cell r="F43">
            <v>8</v>
          </cell>
          <cell r="G43">
            <v>15</v>
          </cell>
          <cell r="H43">
            <v>0</v>
          </cell>
          <cell r="I43">
            <v>30</v>
          </cell>
          <cell r="J43">
            <v>11</v>
          </cell>
          <cell r="K43">
            <v>19</v>
          </cell>
          <cell r="L43">
            <v>0</v>
          </cell>
          <cell r="M43">
            <v>30</v>
          </cell>
          <cell r="N43">
            <v>3.7</v>
          </cell>
          <cell r="O43">
            <v>14921.01</v>
          </cell>
          <cell r="P43">
            <v>62.3</v>
          </cell>
        </row>
        <row r="44">
          <cell r="A44">
            <v>29.001</v>
          </cell>
          <cell r="C44" t="str">
            <v>ELECTROLYTE DISORDERS EXCEPT HYPOVOLEMIA RELATED                                  </v>
          </cell>
          <cell r="D44">
            <v>0</v>
          </cell>
          <cell r="E44">
            <v>4</v>
          </cell>
          <cell r="F44">
            <v>9</v>
          </cell>
          <cell r="G44">
            <v>16</v>
          </cell>
          <cell r="H44">
            <v>0</v>
          </cell>
          <cell r="I44">
            <v>29</v>
          </cell>
          <cell r="J44">
            <v>13</v>
          </cell>
          <cell r="K44">
            <v>16</v>
          </cell>
          <cell r="L44">
            <v>0</v>
          </cell>
          <cell r="M44">
            <v>29</v>
          </cell>
          <cell r="N44">
            <v>3.1</v>
          </cell>
          <cell r="O44">
            <v>11633.02</v>
          </cell>
          <cell r="P44">
            <v>65.7</v>
          </cell>
        </row>
        <row r="45">
          <cell r="A45">
            <v>29</v>
          </cell>
          <cell r="C45" t="str">
            <v>OTHER VASCULAR PROCEDURES                                                         </v>
          </cell>
          <cell r="D45">
            <v>0</v>
          </cell>
          <cell r="E45">
            <v>0</v>
          </cell>
          <cell r="F45">
            <v>14</v>
          </cell>
          <cell r="G45">
            <v>15</v>
          </cell>
          <cell r="H45">
            <v>0</v>
          </cell>
          <cell r="I45">
            <v>29</v>
          </cell>
          <cell r="J45">
            <v>17</v>
          </cell>
          <cell r="K45">
            <v>12</v>
          </cell>
          <cell r="L45">
            <v>0</v>
          </cell>
          <cell r="M45">
            <v>29</v>
          </cell>
          <cell r="N45">
            <v>2.9</v>
          </cell>
          <cell r="O45">
            <v>48662.52</v>
          </cell>
          <cell r="P45">
            <v>66.4</v>
          </cell>
        </row>
        <row r="46">
          <cell r="A46">
            <v>28</v>
          </cell>
          <cell r="C46" t="str">
            <v>PEPTIC ULCER &amp; GASTRITIS                                                          </v>
          </cell>
          <cell r="D46">
            <v>0</v>
          </cell>
          <cell r="E46">
            <v>6</v>
          </cell>
          <cell r="F46">
            <v>10</v>
          </cell>
          <cell r="G46">
            <v>12</v>
          </cell>
          <cell r="H46">
            <v>0</v>
          </cell>
          <cell r="I46">
            <v>28</v>
          </cell>
          <cell r="J46">
            <v>11</v>
          </cell>
          <cell r="K46">
            <v>17</v>
          </cell>
          <cell r="L46">
            <v>0</v>
          </cell>
          <cell r="M46">
            <v>28</v>
          </cell>
          <cell r="N46">
            <v>3.5</v>
          </cell>
          <cell r="O46">
            <v>15321.68</v>
          </cell>
          <cell r="P46">
            <v>59.7</v>
          </cell>
        </row>
        <row r="47">
          <cell r="A47">
            <v>27.001</v>
          </cell>
          <cell r="C47" t="str">
            <v>HIP &amp; FEMUR PROCEDURES FOR TRAUMA EXCEPT JOINT REPLACEMENT                        </v>
          </cell>
          <cell r="D47">
            <v>0</v>
          </cell>
          <cell r="E47">
            <v>1</v>
          </cell>
          <cell r="F47">
            <v>3</v>
          </cell>
          <cell r="G47">
            <v>23</v>
          </cell>
          <cell r="H47">
            <v>0</v>
          </cell>
          <cell r="I47">
            <v>27</v>
          </cell>
          <cell r="J47">
            <v>9</v>
          </cell>
          <cell r="K47">
            <v>18</v>
          </cell>
          <cell r="L47">
            <v>0</v>
          </cell>
          <cell r="M47">
            <v>27</v>
          </cell>
          <cell r="N47">
            <v>5.6</v>
          </cell>
          <cell r="O47">
            <v>33512.06</v>
          </cell>
          <cell r="P47">
            <v>78</v>
          </cell>
        </row>
        <row r="48">
          <cell r="A48">
            <v>27</v>
          </cell>
          <cell r="C48" t="str">
            <v>DIVERTICULITIS &amp; DIVERTICULOSIS                                                   </v>
          </cell>
          <cell r="D48">
            <v>0</v>
          </cell>
          <cell r="E48">
            <v>3</v>
          </cell>
          <cell r="F48">
            <v>6</v>
          </cell>
          <cell r="G48">
            <v>18</v>
          </cell>
          <cell r="H48">
            <v>0</v>
          </cell>
          <cell r="I48">
            <v>27</v>
          </cell>
          <cell r="J48">
            <v>5</v>
          </cell>
          <cell r="K48">
            <v>22</v>
          </cell>
          <cell r="L48">
            <v>0</v>
          </cell>
          <cell r="M48">
            <v>27</v>
          </cell>
          <cell r="N48">
            <v>3.2</v>
          </cell>
          <cell r="O48">
            <v>10598.09</v>
          </cell>
          <cell r="P48">
            <v>67.7</v>
          </cell>
        </row>
        <row r="49">
          <cell r="A49">
            <v>25</v>
          </cell>
          <cell r="C49" t="str">
            <v>TRANSIENT ISCHEMIA                                                                </v>
          </cell>
          <cell r="D49">
            <v>0</v>
          </cell>
          <cell r="E49">
            <v>2</v>
          </cell>
          <cell r="F49">
            <v>9</v>
          </cell>
          <cell r="G49">
            <v>14</v>
          </cell>
          <cell r="H49">
            <v>0</v>
          </cell>
          <cell r="I49">
            <v>25</v>
          </cell>
          <cell r="J49">
            <v>6</v>
          </cell>
          <cell r="K49">
            <v>19</v>
          </cell>
          <cell r="L49">
            <v>0</v>
          </cell>
          <cell r="M49">
            <v>25</v>
          </cell>
          <cell r="N49">
            <v>1.9</v>
          </cell>
          <cell r="O49">
            <v>12755.09</v>
          </cell>
          <cell r="P49">
            <v>66.8</v>
          </cell>
        </row>
        <row r="50">
          <cell r="A50">
            <v>24.001</v>
          </cell>
          <cell r="C50" t="str">
            <v>NEONATE, TRANSFERRED &lt; 5 DAYS OLD, BORN HERE                                      </v>
          </cell>
          <cell r="D50">
            <v>24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24</v>
          </cell>
          <cell r="J50">
            <v>15</v>
          </cell>
          <cell r="K50">
            <v>9</v>
          </cell>
          <cell r="L50">
            <v>0</v>
          </cell>
          <cell r="M50">
            <v>24</v>
          </cell>
          <cell r="N50">
            <v>1</v>
          </cell>
          <cell r="O50">
            <v>2487.13</v>
          </cell>
          <cell r="P50">
            <v>0</v>
          </cell>
        </row>
        <row r="51">
          <cell r="A51">
            <v>24.001</v>
          </cell>
          <cell r="C51" t="str">
            <v>INTESTINAL OBSTRUCTION                                                            </v>
          </cell>
          <cell r="D51">
            <v>0</v>
          </cell>
          <cell r="E51">
            <v>3</v>
          </cell>
          <cell r="F51">
            <v>11</v>
          </cell>
          <cell r="G51">
            <v>10</v>
          </cell>
          <cell r="H51">
            <v>0</v>
          </cell>
          <cell r="I51">
            <v>24</v>
          </cell>
          <cell r="J51">
            <v>10</v>
          </cell>
          <cell r="K51">
            <v>14</v>
          </cell>
          <cell r="L51">
            <v>0</v>
          </cell>
          <cell r="M51">
            <v>24</v>
          </cell>
          <cell r="N51">
            <v>4.5</v>
          </cell>
          <cell r="O51">
            <v>13976.47</v>
          </cell>
          <cell r="P51">
            <v>61.2</v>
          </cell>
        </row>
        <row r="52">
          <cell r="A52">
            <v>24</v>
          </cell>
          <cell r="C52" t="str">
            <v>OTHER RESPIRATORY DIAGNOSES EXCEPT SIGNS, SYMPTOMS &amp; MINOR DIAGNOSES              </v>
          </cell>
          <cell r="D52">
            <v>0</v>
          </cell>
          <cell r="E52">
            <v>0</v>
          </cell>
          <cell r="F52">
            <v>8</v>
          </cell>
          <cell r="G52">
            <v>16</v>
          </cell>
          <cell r="H52">
            <v>0</v>
          </cell>
          <cell r="I52">
            <v>24</v>
          </cell>
          <cell r="J52">
            <v>9</v>
          </cell>
          <cell r="K52">
            <v>15</v>
          </cell>
          <cell r="L52">
            <v>0</v>
          </cell>
          <cell r="M52">
            <v>24</v>
          </cell>
          <cell r="N52">
            <v>4.4</v>
          </cell>
          <cell r="O52">
            <v>15711.24</v>
          </cell>
          <cell r="P52">
            <v>71.2</v>
          </cell>
        </row>
        <row r="53">
          <cell r="A53">
            <v>23.001</v>
          </cell>
          <cell r="C53" t="str">
            <v>KNEE &amp; LOWER LEG PROCEDURES EXCEPT FOOT                                           </v>
          </cell>
          <cell r="D53">
            <v>0</v>
          </cell>
          <cell r="E53">
            <v>2</v>
          </cell>
          <cell r="F53">
            <v>15</v>
          </cell>
          <cell r="G53">
            <v>6</v>
          </cell>
          <cell r="H53">
            <v>0</v>
          </cell>
          <cell r="I53">
            <v>23</v>
          </cell>
          <cell r="J53">
            <v>13</v>
          </cell>
          <cell r="K53">
            <v>10</v>
          </cell>
          <cell r="L53">
            <v>0</v>
          </cell>
          <cell r="M53">
            <v>23</v>
          </cell>
          <cell r="N53">
            <v>3</v>
          </cell>
          <cell r="O53">
            <v>22202.48</v>
          </cell>
          <cell r="P53">
            <v>58.7</v>
          </cell>
        </row>
        <row r="54">
          <cell r="A54">
            <v>23</v>
          </cell>
          <cell r="C54" t="str">
            <v>PULMONARY EMBOLISM                                                                </v>
          </cell>
          <cell r="D54">
            <v>0</v>
          </cell>
          <cell r="E54">
            <v>5</v>
          </cell>
          <cell r="F54">
            <v>6</v>
          </cell>
          <cell r="G54">
            <v>12</v>
          </cell>
          <cell r="H54">
            <v>0</v>
          </cell>
          <cell r="I54">
            <v>23</v>
          </cell>
          <cell r="J54">
            <v>8</v>
          </cell>
          <cell r="K54">
            <v>15</v>
          </cell>
          <cell r="L54">
            <v>0</v>
          </cell>
          <cell r="M54">
            <v>23</v>
          </cell>
          <cell r="N54">
            <v>4</v>
          </cell>
          <cell r="O54">
            <v>14880.49</v>
          </cell>
          <cell r="P54">
            <v>61.6</v>
          </cell>
        </row>
        <row r="55">
          <cell r="A55">
            <v>20</v>
          </cell>
          <cell r="C55" t="str">
            <v>HERNIA PROCEDURES EXCEPT INGUINAL, FEMORAL &amp; UMBILICAL                            </v>
          </cell>
          <cell r="D55">
            <v>0</v>
          </cell>
          <cell r="E55">
            <v>3</v>
          </cell>
          <cell r="F55">
            <v>9</v>
          </cell>
          <cell r="G55">
            <v>8</v>
          </cell>
          <cell r="H55">
            <v>0</v>
          </cell>
          <cell r="I55">
            <v>20</v>
          </cell>
          <cell r="J55">
            <v>10</v>
          </cell>
          <cell r="K55">
            <v>10</v>
          </cell>
          <cell r="L55">
            <v>0</v>
          </cell>
          <cell r="M55">
            <v>20</v>
          </cell>
          <cell r="N55">
            <v>3.9</v>
          </cell>
          <cell r="O55">
            <v>34142.81</v>
          </cell>
          <cell r="P55">
            <v>59.7</v>
          </cell>
        </row>
        <row r="56">
          <cell r="A56">
            <v>19</v>
          </cell>
          <cell r="C56" t="str">
            <v>OTHER ANTEPARTUM DIAGNOSES                                                        </v>
          </cell>
          <cell r="D56">
            <v>1</v>
          </cell>
          <cell r="E56">
            <v>18</v>
          </cell>
          <cell r="F56">
            <v>0</v>
          </cell>
          <cell r="G56">
            <v>0</v>
          </cell>
          <cell r="H56">
            <v>0</v>
          </cell>
          <cell r="I56">
            <v>19</v>
          </cell>
          <cell r="J56">
            <v>0</v>
          </cell>
          <cell r="K56">
            <v>19</v>
          </cell>
          <cell r="L56">
            <v>0</v>
          </cell>
          <cell r="M56">
            <v>19</v>
          </cell>
          <cell r="N56">
            <v>1.9</v>
          </cell>
          <cell r="O56">
            <v>5058.25</v>
          </cell>
          <cell r="P56">
            <v>25.6</v>
          </cell>
        </row>
        <row r="57">
          <cell r="A57">
            <v>18.001</v>
          </cell>
          <cell r="C57" t="str">
            <v>MODERATELY EXTENSIVE PROCEDURE UNRELATED TO PRINCIPAL DIAGNOSIS                   </v>
          </cell>
          <cell r="D57">
            <v>0</v>
          </cell>
          <cell r="E57">
            <v>2</v>
          </cell>
          <cell r="F57">
            <v>9</v>
          </cell>
          <cell r="G57">
            <v>7</v>
          </cell>
          <cell r="H57">
            <v>0</v>
          </cell>
          <cell r="I57">
            <v>18</v>
          </cell>
          <cell r="J57">
            <v>9</v>
          </cell>
          <cell r="K57">
            <v>9</v>
          </cell>
          <cell r="L57">
            <v>0</v>
          </cell>
          <cell r="M57">
            <v>18</v>
          </cell>
          <cell r="N57">
            <v>7.6</v>
          </cell>
          <cell r="O57">
            <v>45116.76</v>
          </cell>
          <cell r="P57">
            <v>61.7</v>
          </cell>
        </row>
        <row r="58">
          <cell r="A58">
            <v>18.001</v>
          </cell>
          <cell r="C58" t="str">
            <v>UTERINE &amp; ADNEXA PROCEDURES FOR NON-MALIGNANCY EXCEPT LEIOMYOMA                   </v>
          </cell>
          <cell r="D58">
            <v>0</v>
          </cell>
          <cell r="E58">
            <v>14</v>
          </cell>
          <cell r="F58">
            <v>3</v>
          </cell>
          <cell r="G58">
            <v>1</v>
          </cell>
          <cell r="H58">
            <v>0</v>
          </cell>
          <cell r="I58">
            <v>18</v>
          </cell>
          <cell r="J58">
            <v>0</v>
          </cell>
          <cell r="K58">
            <v>18</v>
          </cell>
          <cell r="L58">
            <v>0</v>
          </cell>
          <cell r="M58">
            <v>18</v>
          </cell>
          <cell r="N58">
            <v>4.8</v>
          </cell>
          <cell r="O58">
            <v>37641.89</v>
          </cell>
          <cell r="P58">
            <v>40.8</v>
          </cell>
        </row>
        <row r="59">
          <cell r="A59">
            <v>18.001</v>
          </cell>
          <cell r="C59" t="str">
            <v>OTHER MUSCULOSKELETAL SYSTEM &amp; CONNECTIVE TISSUE DIAGNOSES                        </v>
          </cell>
          <cell r="D59">
            <v>0</v>
          </cell>
          <cell r="E59">
            <v>6</v>
          </cell>
          <cell r="F59">
            <v>4</v>
          </cell>
          <cell r="G59">
            <v>8</v>
          </cell>
          <cell r="H59">
            <v>0</v>
          </cell>
          <cell r="I59">
            <v>18</v>
          </cell>
          <cell r="J59">
            <v>10</v>
          </cell>
          <cell r="K59">
            <v>8</v>
          </cell>
          <cell r="L59">
            <v>0</v>
          </cell>
          <cell r="M59">
            <v>18</v>
          </cell>
          <cell r="N59">
            <v>2.9</v>
          </cell>
          <cell r="O59">
            <v>11272.48</v>
          </cell>
          <cell r="P59">
            <v>57.8</v>
          </cell>
        </row>
        <row r="60">
          <cell r="A60">
            <v>18.001</v>
          </cell>
          <cell r="C60" t="str">
            <v>HIP JOINT REPLACEMENT                                                             </v>
          </cell>
          <cell r="D60">
            <v>0</v>
          </cell>
          <cell r="E60">
            <v>1</v>
          </cell>
          <cell r="F60">
            <v>0</v>
          </cell>
          <cell r="G60">
            <v>17</v>
          </cell>
          <cell r="H60">
            <v>0</v>
          </cell>
          <cell r="I60">
            <v>18</v>
          </cell>
          <cell r="J60">
            <v>5</v>
          </cell>
          <cell r="K60">
            <v>13</v>
          </cell>
          <cell r="L60">
            <v>0</v>
          </cell>
          <cell r="M60">
            <v>18</v>
          </cell>
          <cell r="N60">
            <v>6.9</v>
          </cell>
          <cell r="O60">
            <v>46543.5</v>
          </cell>
          <cell r="P60">
            <v>75.4</v>
          </cell>
        </row>
        <row r="61">
          <cell r="A61">
            <v>18.001</v>
          </cell>
          <cell r="C61" t="str">
            <v>OTHER CIRCULATORY SYSTEM DIAGNOSES                                                </v>
          </cell>
          <cell r="D61">
            <v>0</v>
          </cell>
          <cell r="E61">
            <v>2</v>
          </cell>
          <cell r="F61">
            <v>7</v>
          </cell>
          <cell r="G61">
            <v>9</v>
          </cell>
          <cell r="H61">
            <v>0</v>
          </cell>
          <cell r="I61">
            <v>18</v>
          </cell>
          <cell r="J61">
            <v>12</v>
          </cell>
          <cell r="K61">
            <v>6</v>
          </cell>
          <cell r="L61">
            <v>0</v>
          </cell>
          <cell r="M61">
            <v>18</v>
          </cell>
          <cell r="N61">
            <v>3.6</v>
          </cell>
          <cell r="O61">
            <v>14284.29</v>
          </cell>
          <cell r="P61">
            <v>65.6</v>
          </cell>
        </row>
        <row r="62">
          <cell r="A62">
            <v>18</v>
          </cell>
          <cell r="C62" t="str">
            <v>PERIPHERAL, CRANIAL &amp; AUTONOMIC NERVE DISORDERS                                   </v>
          </cell>
          <cell r="D62">
            <v>0</v>
          </cell>
          <cell r="E62">
            <v>7</v>
          </cell>
          <cell r="F62">
            <v>7</v>
          </cell>
          <cell r="G62">
            <v>4</v>
          </cell>
          <cell r="H62">
            <v>0</v>
          </cell>
          <cell r="I62">
            <v>18</v>
          </cell>
          <cell r="J62">
            <v>5</v>
          </cell>
          <cell r="K62">
            <v>13</v>
          </cell>
          <cell r="L62">
            <v>0</v>
          </cell>
          <cell r="M62">
            <v>18</v>
          </cell>
          <cell r="N62">
            <v>4.9</v>
          </cell>
          <cell r="O62">
            <v>15121.37</v>
          </cell>
          <cell r="P62">
            <v>52.5</v>
          </cell>
        </row>
        <row r="63">
          <cell r="A63">
            <v>17.001</v>
          </cell>
          <cell r="C63" t="str">
            <v>NEONATE BIRTHWT &gt;2499G W OTHER SIGNIFICANT CONDITION                              </v>
          </cell>
          <cell r="D63">
            <v>17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17</v>
          </cell>
          <cell r="J63">
            <v>8</v>
          </cell>
          <cell r="K63">
            <v>9</v>
          </cell>
          <cell r="L63">
            <v>0</v>
          </cell>
          <cell r="M63">
            <v>17</v>
          </cell>
          <cell r="N63">
            <v>3.2</v>
          </cell>
          <cell r="O63">
            <v>3975.55</v>
          </cell>
          <cell r="P63">
            <v>0</v>
          </cell>
        </row>
        <row r="64">
          <cell r="A64">
            <v>17.001</v>
          </cell>
          <cell r="C64" t="str">
            <v>OTHER SKIN, SUBCUTANEOUS TISSUE &amp; RELATED PROCEDURES                              </v>
          </cell>
          <cell r="D64">
            <v>1</v>
          </cell>
          <cell r="E64">
            <v>6</v>
          </cell>
          <cell r="F64">
            <v>7</v>
          </cell>
          <cell r="G64">
            <v>3</v>
          </cell>
          <cell r="H64">
            <v>0</v>
          </cell>
          <cell r="I64">
            <v>17</v>
          </cell>
          <cell r="J64">
            <v>13</v>
          </cell>
          <cell r="K64">
            <v>4</v>
          </cell>
          <cell r="L64">
            <v>0</v>
          </cell>
          <cell r="M64">
            <v>17</v>
          </cell>
          <cell r="N64">
            <v>5.1</v>
          </cell>
          <cell r="O64">
            <v>29746.29</v>
          </cell>
          <cell r="P64">
            <v>46.5</v>
          </cell>
        </row>
        <row r="65">
          <cell r="A65">
            <v>17</v>
          </cell>
          <cell r="C65" t="str">
            <v>SHOULDER, UPPER ARM  &amp; FOREARM PROCEDURES                                         </v>
          </cell>
          <cell r="D65">
            <v>0</v>
          </cell>
          <cell r="E65">
            <v>4</v>
          </cell>
          <cell r="F65">
            <v>4</v>
          </cell>
          <cell r="G65">
            <v>9</v>
          </cell>
          <cell r="H65">
            <v>0</v>
          </cell>
          <cell r="I65">
            <v>17</v>
          </cell>
          <cell r="J65">
            <v>5</v>
          </cell>
          <cell r="K65">
            <v>12</v>
          </cell>
          <cell r="L65">
            <v>0</v>
          </cell>
          <cell r="M65">
            <v>17</v>
          </cell>
          <cell r="N65">
            <v>2.5</v>
          </cell>
          <cell r="O65">
            <v>33469.2</v>
          </cell>
          <cell r="P65">
            <v>63.6</v>
          </cell>
        </row>
        <row r="66">
          <cell r="A66">
            <v>16.001</v>
          </cell>
          <cell r="C66" t="str">
            <v>URINARY STONES &amp; ACQUIRED UPPER URINARY TRACT OBSTRUCTION                         </v>
          </cell>
          <cell r="D66">
            <v>0</v>
          </cell>
          <cell r="E66">
            <v>4</v>
          </cell>
          <cell r="F66">
            <v>9</v>
          </cell>
          <cell r="G66">
            <v>3</v>
          </cell>
          <cell r="H66">
            <v>0</v>
          </cell>
          <cell r="I66">
            <v>16</v>
          </cell>
          <cell r="J66">
            <v>7</v>
          </cell>
          <cell r="K66">
            <v>9</v>
          </cell>
          <cell r="L66">
            <v>0</v>
          </cell>
          <cell r="M66">
            <v>16</v>
          </cell>
          <cell r="N66">
            <v>2.8</v>
          </cell>
          <cell r="O66">
            <v>18283.63</v>
          </cell>
          <cell r="P66">
            <v>54</v>
          </cell>
        </row>
        <row r="67">
          <cell r="A67">
            <v>16.001</v>
          </cell>
          <cell r="C67" t="str">
            <v>HYPOVOLEMIA &amp; RELATED ELECTROLYTE DISORDERS                                       </v>
          </cell>
          <cell r="D67">
            <v>5</v>
          </cell>
          <cell r="E67">
            <v>2</v>
          </cell>
          <cell r="F67">
            <v>3</v>
          </cell>
          <cell r="G67">
            <v>6</v>
          </cell>
          <cell r="H67">
            <v>0</v>
          </cell>
          <cell r="I67">
            <v>16</v>
          </cell>
          <cell r="J67">
            <v>8</v>
          </cell>
          <cell r="K67">
            <v>8</v>
          </cell>
          <cell r="L67">
            <v>0</v>
          </cell>
          <cell r="M67">
            <v>16</v>
          </cell>
          <cell r="N67">
            <v>2.5</v>
          </cell>
          <cell r="O67">
            <v>7613.15</v>
          </cell>
          <cell r="P67">
            <v>46.4</v>
          </cell>
        </row>
        <row r="68">
          <cell r="A68">
            <v>16.001</v>
          </cell>
          <cell r="C68" t="str">
            <v>CHOLECYSTECTOMY EXCEPT LAPAROSCOPIC                                               </v>
          </cell>
          <cell r="D68">
            <v>0</v>
          </cell>
          <cell r="E68">
            <v>3</v>
          </cell>
          <cell r="F68">
            <v>6</v>
          </cell>
          <cell r="G68">
            <v>7</v>
          </cell>
          <cell r="H68">
            <v>0</v>
          </cell>
          <cell r="I68">
            <v>16</v>
          </cell>
          <cell r="J68">
            <v>8</v>
          </cell>
          <cell r="K68">
            <v>8</v>
          </cell>
          <cell r="L68">
            <v>0</v>
          </cell>
          <cell r="M68">
            <v>16</v>
          </cell>
          <cell r="N68">
            <v>4.8</v>
          </cell>
          <cell r="O68">
            <v>32479.36</v>
          </cell>
          <cell r="P68">
            <v>57.6</v>
          </cell>
        </row>
        <row r="69">
          <cell r="A69">
            <v>16.001</v>
          </cell>
          <cell r="C69" t="str">
            <v>PERITONEAL ADHESIOLYSIS                                                           </v>
          </cell>
          <cell r="D69">
            <v>0</v>
          </cell>
          <cell r="E69">
            <v>3</v>
          </cell>
          <cell r="F69">
            <v>6</v>
          </cell>
          <cell r="G69">
            <v>7</v>
          </cell>
          <cell r="H69">
            <v>0</v>
          </cell>
          <cell r="I69">
            <v>16</v>
          </cell>
          <cell r="J69">
            <v>7</v>
          </cell>
          <cell r="K69">
            <v>9</v>
          </cell>
          <cell r="L69">
            <v>0</v>
          </cell>
          <cell r="M69">
            <v>16</v>
          </cell>
          <cell r="N69">
            <v>11.9</v>
          </cell>
          <cell r="O69">
            <v>57660.01</v>
          </cell>
          <cell r="P69">
            <v>61.3</v>
          </cell>
        </row>
        <row r="70">
          <cell r="A70">
            <v>16.001</v>
          </cell>
          <cell r="C70" t="str">
            <v>MAJOR STOMACH, ESOPHAGEAL &amp; DUODENAL PROCEDURES                                   </v>
          </cell>
          <cell r="D70">
            <v>0</v>
          </cell>
          <cell r="E70">
            <v>2</v>
          </cell>
          <cell r="F70">
            <v>8</v>
          </cell>
          <cell r="G70">
            <v>6</v>
          </cell>
          <cell r="H70">
            <v>0</v>
          </cell>
          <cell r="I70">
            <v>16</v>
          </cell>
          <cell r="J70">
            <v>6</v>
          </cell>
          <cell r="K70">
            <v>10</v>
          </cell>
          <cell r="L70">
            <v>0</v>
          </cell>
          <cell r="M70">
            <v>16</v>
          </cell>
          <cell r="N70">
            <v>9</v>
          </cell>
          <cell r="O70">
            <v>71473.78</v>
          </cell>
          <cell r="P70">
            <v>59.6</v>
          </cell>
        </row>
        <row r="71">
          <cell r="A71">
            <v>16.001</v>
          </cell>
          <cell r="C71" t="str">
            <v>CHEST PAIN                                                                        </v>
          </cell>
          <cell r="D71">
            <v>0</v>
          </cell>
          <cell r="E71">
            <v>3</v>
          </cell>
          <cell r="F71">
            <v>10</v>
          </cell>
          <cell r="G71">
            <v>3</v>
          </cell>
          <cell r="H71">
            <v>0</v>
          </cell>
          <cell r="I71">
            <v>16</v>
          </cell>
          <cell r="J71">
            <v>8</v>
          </cell>
          <cell r="K71">
            <v>8</v>
          </cell>
          <cell r="L71">
            <v>0</v>
          </cell>
          <cell r="M71">
            <v>16</v>
          </cell>
          <cell r="N71">
            <v>1.8</v>
          </cell>
          <cell r="O71">
            <v>10379.42</v>
          </cell>
          <cell r="P71">
            <v>57.4</v>
          </cell>
        </row>
        <row r="72">
          <cell r="A72">
            <v>16</v>
          </cell>
          <cell r="C72" t="str">
            <v>EXTRACRANIAL VASCULAR PROCEDURES                                                  </v>
          </cell>
          <cell r="D72">
            <v>0</v>
          </cell>
          <cell r="E72">
            <v>0</v>
          </cell>
          <cell r="F72">
            <v>5</v>
          </cell>
          <cell r="G72">
            <v>11</v>
          </cell>
          <cell r="H72">
            <v>0</v>
          </cell>
          <cell r="I72">
            <v>16</v>
          </cell>
          <cell r="J72">
            <v>8</v>
          </cell>
          <cell r="K72">
            <v>8</v>
          </cell>
          <cell r="L72">
            <v>0</v>
          </cell>
          <cell r="M72">
            <v>16</v>
          </cell>
          <cell r="N72">
            <v>1.9</v>
          </cell>
          <cell r="O72">
            <v>21217.01</v>
          </cell>
          <cell r="P72">
            <v>68.4</v>
          </cell>
        </row>
        <row r="73">
          <cell r="A73">
            <v>15.001</v>
          </cell>
          <cell r="C73" t="str">
            <v>TOXIC EFFECTS OF NON-MEDICINAL SUBSTANCES                                         </v>
          </cell>
          <cell r="D73">
            <v>0</v>
          </cell>
          <cell r="E73">
            <v>6</v>
          </cell>
          <cell r="F73">
            <v>9</v>
          </cell>
          <cell r="G73">
            <v>0</v>
          </cell>
          <cell r="H73">
            <v>0</v>
          </cell>
          <cell r="I73">
            <v>15</v>
          </cell>
          <cell r="J73">
            <v>8</v>
          </cell>
          <cell r="K73">
            <v>7</v>
          </cell>
          <cell r="L73">
            <v>0</v>
          </cell>
          <cell r="M73">
            <v>15</v>
          </cell>
          <cell r="N73">
            <v>3.5</v>
          </cell>
          <cell r="O73">
            <v>18938.92</v>
          </cell>
          <cell r="P73">
            <v>43.9</v>
          </cell>
        </row>
        <row r="74">
          <cell r="A74">
            <v>15.001</v>
          </cell>
          <cell r="C74" t="str">
            <v>POST-OPERATIVE, POST-TRAUMATIC, OTHER DEVICE INFECTIONS                           </v>
          </cell>
          <cell r="D74">
            <v>0</v>
          </cell>
          <cell r="E74">
            <v>3</v>
          </cell>
          <cell r="F74">
            <v>7</v>
          </cell>
          <cell r="G74">
            <v>5</v>
          </cell>
          <cell r="H74">
            <v>0</v>
          </cell>
          <cell r="I74">
            <v>15</v>
          </cell>
          <cell r="J74">
            <v>6</v>
          </cell>
          <cell r="K74">
            <v>9</v>
          </cell>
          <cell r="L74">
            <v>0</v>
          </cell>
          <cell r="M74">
            <v>15</v>
          </cell>
          <cell r="N74">
            <v>3.3</v>
          </cell>
          <cell r="O74">
            <v>13756.23</v>
          </cell>
          <cell r="P74">
            <v>56.6</v>
          </cell>
        </row>
        <row r="75">
          <cell r="A75">
            <v>15.001</v>
          </cell>
          <cell r="C75" t="str">
            <v>MALIGNANCY OF HEPATOBILIARY SYSTEM &amp; PANCREAS                                     </v>
          </cell>
          <cell r="D75">
            <v>0</v>
          </cell>
          <cell r="E75">
            <v>1</v>
          </cell>
          <cell r="F75">
            <v>2</v>
          </cell>
          <cell r="G75">
            <v>12</v>
          </cell>
          <cell r="H75">
            <v>0</v>
          </cell>
          <cell r="I75">
            <v>15</v>
          </cell>
          <cell r="J75">
            <v>10</v>
          </cell>
          <cell r="K75">
            <v>5</v>
          </cell>
          <cell r="L75">
            <v>0</v>
          </cell>
          <cell r="M75">
            <v>15</v>
          </cell>
          <cell r="N75">
            <v>6.5</v>
          </cell>
          <cell r="O75">
            <v>24138.05</v>
          </cell>
          <cell r="P75">
            <v>71.5</v>
          </cell>
        </row>
        <row r="76">
          <cell r="A76">
            <v>15</v>
          </cell>
          <cell r="C76" t="str">
            <v>DIGESTIVE MALIGNANCY                                                              </v>
          </cell>
          <cell r="D76">
            <v>0</v>
          </cell>
          <cell r="E76">
            <v>0</v>
          </cell>
          <cell r="F76">
            <v>6</v>
          </cell>
          <cell r="G76">
            <v>9</v>
          </cell>
          <cell r="H76">
            <v>0</v>
          </cell>
          <cell r="I76">
            <v>15</v>
          </cell>
          <cell r="J76">
            <v>13</v>
          </cell>
          <cell r="K76">
            <v>2</v>
          </cell>
          <cell r="L76">
            <v>0</v>
          </cell>
          <cell r="M76">
            <v>15</v>
          </cell>
          <cell r="N76">
            <v>4.3</v>
          </cell>
          <cell r="O76">
            <v>17736.48</v>
          </cell>
          <cell r="P76">
            <v>70.1</v>
          </cell>
        </row>
        <row r="77">
          <cell r="A77">
            <v>14.001</v>
          </cell>
          <cell r="C77" t="str">
            <v>SIGNS, SYMPTOMS &amp; OTHER FACTORS INFLUENCING HEALTH STATUS                         </v>
          </cell>
          <cell r="D77">
            <v>4</v>
          </cell>
          <cell r="E77">
            <v>1</v>
          </cell>
          <cell r="F77">
            <v>5</v>
          </cell>
          <cell r="G77">
            <v>4</v>
          </cell>
          <cell r="H77">
            <v>0</v>
          </cell>
          <cell r="I77">
            <v>14</v>
          </cell>
          <cell r="J77">
            <v>8</v>
          </cell>
          <cell r="K77">
            <v>6</v>
          </cell>
          <cell r="L77">
            <v>0</v>
          </cell>
          <cell r="M77">
            <v>14</v>
          </cell>
          <cell r="N77">
            <v>5</v>
          </cell>
          <cell r="O77">
            <v>13785.89</v>
          </cell>
          <cell r="P77">
            <v>44.5</v>
          </cell>
        </row>
        <row r="78">
          <cell r="A78">
            <v>14.001</v>
          </cell>
          <cell r="C78" t="str">
            <v>OTHER COMPLICATIONS OF TREATMENT                                                  </v>
          </cell>
          <cell r="D78">
            <v>0</v>
          </cell>
          <cell r="E78">
            <v>2</v>
          </cell>
          <cell r="F78">
            <v>6</v>
          </cell>
          <cell r="G78">
            <v>6</v>
          </cell>
          <cell r="H78">
            <v>0</v>
          </cell>
          <cell r="I78">
            <v>14</v>
          </cell>
          <cell r="J78">
            <v>6</v>
          </cell>
          <cell r="K78">
            <v>8</v>
          </cell>
          <cell r="L78">
            <v>0</v>
          </cell>
          <cell r="M78">
            <v>14</v>
          </cell>
          <cell r="N78">
            <v>3.6</v>
          </cell>
          <cell r="O78">
            <v>13943.67</v>
          </cell>
          <cell r="P78">
            <v>59.6</v>
          </cell>
        </row>
        <row r="79">
          <cell r="A79">
            <v>14.001</v>
          </cell>
          <cell r="C79" t="str">
            <v>CHEMOTHERAPY                                                                      </v>
          </cell>
          <cell r="D79">
            <v>0</v>
          </cell>
          <cell r="E79">
            <v>5</v>
          </cell>
          <cell r="F79">
            <v>4</v>
          </cell>
          <cell r="G79">
            <v>5</v>
          </cell>
          <cell r="H79">
            <v>0</v>
          </cell>
          <cell r="I79">
            <v>14</v>
          </cell>
          <cell r="J79">
            <v>10</v>
          </cell>
          <cell r="K79">
            <v>4</v>
          </cell>
          <cell r="L79">
            <v>0</v>
          </cell>
          <cell r="M79">
            <v>14</v>
          </cell>
          <cell r="N79">
            <v>10.4</v>
          </cell>
          <cell r="O79">
            <v>47173.65</v>
          </cell>
          <cell r="P79">
            <v>49.5</v>
          </cell>
        </row>
        <row r="80">
          <cell r="A80">
            <v>14.001</v>
          </cell>
          <cell r="C80" t="str">
            <v>KIDNEY &amp; URINARY TRACT PROCEDURES FOR NONMALIGNANCY                               </v>
          </cell>
          <cell r="D80">
            <v>0</v>
          </cell>
          <cell r="E80">
            <v>6</v>
          </cell>
          <cell r="F80">
            <v>5</v>
          </cell>
          <cell r="G80">
            <v>3</v>
          </cell>
          <cell r="H80">
            <v>0</v>
          </cell>
          <cell r="I80">
            <v>14</v>
          </cell>
          <cell r="J80">
            <v>6</v>
          </cell>
          <cell r="K80">
            <v>8</v>
          </cell>
          <cell r="L80">
            <v>0</v>
          </cell>
          <cell r="M80">
            <v>14</v>
          </cell>
          <cell r="N80">
            <v>2.4</v>
          </cell>
          <cell r="O80">
            <v>18495.2</v>
          </cell>
          <cell r="P80">
            <v>48</v>
          </cell>
        </row>
        <row r="81">
          <cell r="A81">
            <v>14.001</v>
          </cell>
          <cell r="C81" t="str">
            <v>SKIN ULCERS                                                                       </v>
          </cell>
          <cell r="D81">
            <v>0</v>
          </cell>
          <cell r="E81">
            <v>5</v>
          </cell>
          <cell r="F81">
            <v>5</v>
          </cell>
          <cell r="G81">
            <v>4</v>
          </cell>
          <cell r="H81">
            <v>0</v>
          </cell>
          <cell r="I81">
            <v>14</v>
          </cell>
          <cell r="J81">
            <v>6</v>
          </cell>
          <cell r="K81">
            <v>8</v>
          </cell>
          <cell r="L81">
            <v>0</v>
          </cell>
          <cell r="M81">
            <v>14</v>
          </cell>
          <cell r="N81">
            <v>3.9</v>
          </cell>
          <cell r="O81">
            <v>12906.66</v>
          </cell>
          <cell r="P81">
            <v>54.5</v>
          </cell>
        </row>
        <row r="82">
          <cell r="A82">
            <v>14.001</v>
          </cell>
          <cell r="C82" t="str">
            <v>INGUINAL, FEMORAL &amp; UMBILICAL HERNIA PROCEDURES                                   </v>
          </cell>
          <cell r="D82">
            <v>0</v>
          </cell>
          <cell r="E82">
            <v>2</v>
          </cell>
          <cell r="F82">
            <v>7</v>
          </cell>
          <cell r="G82">
            <v>5</v>
          </cell>
          <cell r="H82">
            <v>0</v>
          </cell>
          <cell r="I82">
            <v>14</v>
          </cell>
          <cell r="J82">
            <v>9</v>
          </cell>
          <cell r="K82">
            <v>5</v>
          </cell>
          <cell r="L82">
            <v>0</v>
          </cell>
          <cell r="M82">
            <v>14</v>
          </cell>
          <cell r="N82">
            <v>2.6</v>
          </cell>
          <cell r="O82">
            <v>22342.92</v>
          </cell>
          <cell r="P82">
            <v>60.4</v>
          </cell>
        </row>
        <row r="83">
          <cell r="A83">
            <v>14.001</v>
          </cell>
          <cell r="C83" t="str">
            <v>HYPERTENSION                                                                      </v>
          </cell>
          <cell r="D83">
            <v>0</v>
          </cell>
          <cell r="E83">
            <v>1</v>
          </cell>
          <cell r="F83">
            <v>8</v>
          </cell>
          <cell r="G83">
            <v>5</v>
          </cell>
          <cell r="H83">
            <v>0</v>
          </cell>
          <cell r="I83">
            <v>14</v>
          </cell>
          <cell r="J83">
            <v>5</v>
          </cell>
          <cell r="K83">
            <v>9</v>
          </cell>
          <cell r="L83">
            <v>0</v>
          </cell>
          <cell r="M83">
            <v>14</v>
          </cell>
          <cell r="N83">
            <v>1.6</v>
          </cell>
          <cell r="O83">
            <v>9234.91</v>
          </cell>
          <cell r="P83">
            <v>60.3</v>
          </cell>
        </row>
        <row r="84">
          <cell r="A84">
            <v>14</v>
          </cell>
          <cell r="C84" t="str">
            <v>CARDIAC PACEMAKER &amp; DEFIBRILLATOR REVISION EXCEPT DEVICE REPLACEMENT              </v>
          </cell>
          <cell r="D84">
            <v>0</v>
          </cell>
          <cell r="E84">
            <v>0</v>
          </cell>
          <cell r="F84">
            <v>6</v>
          </cell>
          <cell r="G84">
            <v>8</v>
          </cell>
          <cell r="H84">
            <v>0</v>
          </cell>
          <cell r="I84">
            <v>14</v>
          </cell>
          <cell r="J84">
            <v>6</v>
          </cell>
          <cell r="K84">
            <v>8</v>
          </cell>
          <cell r="L84">
            <v>0</v>
          </cell>
          <cell r="M84">
            <v>14</v>
          </cell>
          <cell r="N84">
            <v>4.1</v>
          </cell>
          <cell r="O84">
            <v>39770.41</v>
          </cell>
          <cell r="P84">
            <v>68.4</v>
          </cell>
        </row>
        <row r="85">
          <cell r="A85">
            <v>13.001</v>
          </cell>
          <cell r="C85" t="str">
            <v>NONEXTENSIVE PROCEDURE UNRELATED TO PRINCIPAL DIAGNOSIS                           </v>
          </cell>
          <cell r="D85">
            <v>0</v>
          </cell>
          <cell r="E85">
            <v>2</v>
          </cell>
          <cell r="F85">
            <v>2</v>
          </cell>
          <cell r="G85">
            <v>9</v>
          </cell>
          <cell r="H85">
            <v>0</v>
          </cell>
          <cell r="I85">
            <v>13</v>
          </cell>
          <cell r="J85">
            <v>10</v>
          </cell>
          <cell r="K85">
            <v>3</v>
          </cell>
          <cell r="L85">
            <v>0</v>
          </cell>
          <cell r="M85">
            <v>13</v>
          </cell>
          <cell r="N85">
            <v>8.2</v>
          </cell>
          <cell r="O85">
            <v>42449.81</v>
          </cell>
          <cell r="P85">
            <v>63.8</v>
          </cell>
        </row>
        <row r="86">
          <cell r="A86">
            <v>13.001</v>
          </cell>
          <cell r="C86" t="str">
            <v>CONNECTIVE TISSUE DISORDERS                                                       </v>
          </cell>
          <cell r="D86">
            <v>0</v>
          </cell>
          <cell r="E86">
            <v>2</v>
          </cell>
          <cell r="F86">
            <v>8</v>
          </cell>
          <cell r="G86">
            <v>3</v>
          </cell>
          <cell r="H86">
            <v>0</v>
          </cell>
          <cell r="I86">
            <v>13</v>
          </cell>
          <cell r="J86">
            <v>9</v>
          </cell>
          <cell r="K86">
            <v>4</v>
          </cell>
          <cell r="L86">
            <v>0</v>
          </cell>
          <cell r="M86">
            <v>13</v>
          </cell>
          <cell r="N86">
            <v>4.2</v>
          </cell>
          <cell r="O86">
            <v>18972.77</v>
          </cell>
          <cell r="P86">
            <v>55.1</v>
          </cell>
        </row>
        <row r="87">
          <cell r="A87">
            <v>13.001</v>
          </cell>
          <cell r="C87" t="str">
            <v>HEPATIC COMA &amp; OTHER MAJOR ACUTE LIVER DISORDERS                                  </v>
          </cell>
          <cell r="D87">
            <v>0</v>
          </cell>
          <cell r="E87">
            <v>3</v>
          </cell>
          <cell r="F87">
            <v>8</v>
          </cell>
          <cell r="G87">
            <v>2</v>
          </cell>
          <cell r="H87">
            <v>0</v>
          </cell>
          <cell r="I87">
            <v>13</v>
          </cell>
          <cell r="J87">
            <v>7</v>
          </cell>
          <cell r="K87">
            <v>6</v>
          </cell>
          <cell r="L87">
            <v>0</v>
          </cell>
          <cell r="M87">
            <v>13</v>
          </cell>
          <cell r="N87">
            <v>2.8</v>
          </cell>
          <cell r="O87">
            <v>13629.57</v>
          </cell>
          <cell r="P87">
            <v>51.8</v>
          </cell>
        </row>
        <row r="88">
          <cell r="A88">
            <v>13.001</v>
          </cell>
          <cell r="C88" t="str">
            <v>MAJOR GASTROINTESTINAL &amp; PERITONEAL INFECTIONS                                    </v>
          </cell>
          <cell r="D88">
            <v>1</v>
          </cell>
          <cell r="E88">
            <v>0</v>
          </cell>
          <cell r="F88">
            <v>2</v>
          </cell>
          <cell r="G88">
            <v>10</v>
          </cell>
          <cell r="H88">
            <v>0</v>
          </cell>
          <cell r="I88">
            <v>13</v>
          </cell>
          <cell r="J88">
            <v>4</v>
          </cell>
          <cell r="K88">
            <v>9</v>
          </cell>
          <cell r="L88">
            <v>0</v>
          </cell>
          <cell r="M88">
            <v>13</v>
          </cell>
          <cell r="N88">
            <v>6.8</v>
          </cell>
          <cell r="O88">
            <v>25642.3</v>
          </cell>
          <cell r="P88">
            <v>70.3</v>
          </cell>
        </row>
        <row r="89">
          <cell r="A89">
            <v>13.001</v>
          </cell>
          <cell r="C89" t="str">
            <v>RESPIRATORY MALIGNANCY                                                            </v>
          </cell>
          <cell r="D89">
            <v>0</v>
          </cell>
          <cell r="E89">
            <v>0</v>
          </cell>
          <cell r="F89">
            <v>5</v>
          </cell>
          <cell r="G89">
            <v>8</v>
          </cell>
          <cell r="H89">
            <v>0</v>
          </cell>
          <cell r="I89">
            <v>13</v>
          </cell>
          <cell r="J89">
            <v>9</v>
          </cell>
          <cell r="K89">
            <v>4</v>
          </cell>
          <cell r="L89">
            <v>0</v>
          </cell>
          <cell r="M89">
            <v>13</v>
          </cell>
          <cell r="N89">
            <v>4.6</v>
          </cell>
          <cell r="O89">
            <v>16950.14</v>
          </cell>
          <cell r="P89">
            <v>68</v>
          </cell>
        </row>
        <row r="90">
          <cell r="A90">
            <v>13</v>
          </cell>
          <cell r="C90" t="str">
            <v>OTHER RESPIRATORY &amp; CHEST PROCEDURES                                              </v>
          </cell>
          <cell r="D90">
            <v>0</v>
          </cell>
          <cell r="E90">
            <v>4</v>
          </cell>
          <cell r="F90">
            <v>6</v>
          </cell>
          <cell r="G90">
            <v>3</v>
          </cell>
          <cell r="H90">
            <v>0</v>
          </cell>
          <cell r="I90">
            <v>13</v>
          </cell>
          <cell r="J90">
            <v>10</v>
          </cell>
          <cell r="K90">
            <v>3</v>
          </cell>
          <cell r="L90">
            <v>0</v>
          </cell>
          <cell r="M90">
            <v>13</v>
          </cell>
          <cell r="N90">
            <v>11.5</v>
          </cell>
          <cell r="O90">
            <v>61026.82</v>
          </cell>
          <cell r="P90">
            <v>56.5</v>
          </cell>
        </row>
        <row r="91">
          <cell r="A91">
            <v>12.4</v>
          </cell>
          <cell r="C91" t="str">
            <v>POST-OP, POST-TRAUMA, OTHER DEVICE INFECTIONS W O.R. PROCEDURE                    </v>
          </cell>
          <cell r="D91">
            <v>0</v>
          </cell>
          <cell r="E91">
            <v>3</v>
          </cell>
          <cell r="F91">
            <v>5</v>
          </cell>
          <cell r="G91">
            <v>4</v>
          </cell>
          <cell r="H91">
            <v>0</v>
          </cell>
          <cell r="I91">
            <v>12</v>
          </cell>
          <cell r="J91">
            <v>5</v>
          </cell>
          <cell r="K91">
            <v>7</v>
          </cell>
          <cell r="L91">
            <v>0</v>
          </cell>
          <cell r="M91">
            <v>12</v>
          </cell>
          <cell r="N91">
            <v>9.8</v>
          </cell>
          <cell r="O91">
            <v>72521.92</v>
          </cell>
          <cell r="P91">
            <v>56.9</v>
          </cell>
        </row>
        <row r="92">
          <cell r="A92">
            <v>12.001</v>
          </cell>
          <cell r="C92" t="str">
            <v>OTHER BACK &amp; NECK DISORDERS, FRACTURES &amp; INJURIES                                 </v>
          </cell>
          <cell r="D92">
            <v>0</v>
          </cell>
          <cell r="E92">
            <v>2</v>
          </cell>
          <cell r="F92">
            <v>1</v>
          </cell>
          <cell r="G92">
            <v>9</v>
          </cell>
          <cell r="H92">
            <v>0</v>
          </cell>
          <cell r="I92">
            <v>12</v>
          </cell>
          <cell r="J92">
            <v>7</v>
          </cell>
          <cell r="K92">
            <v>5</v>
          </cell>
          <cell r="L92">
            <v>0</v>
          </cell>
          <cell r="M92">
            <v>12</v>
          </cell>
          <cell r="N92">
            <v>2.7</v>
          </cell>
          <cell r="O92">
            <v>13566.29</v>
          </cell>
          <cell r="P92">
            <v>68.5</v>
          </cell>
        </row>
        <row r="93">
          <cell r="A93">
            <v>12</v>
          </cell>
          <cell r="C93" t="str">
            <v>DEGENERATIVE NERVOUS SYSTEM DISORDERS EXC MULT SCLEROSIS                          </v>
          </cell>
          <cell r="D93">
            <v>0</v>
          </cell>
          <cell r="E93">
            <v>0</v>
          </cell>
          <cell r="F93">
            <v>1</v>
          </cell>
          <cell r="G93">
            <v>11</v>
          </cell>
          <cell r="H93">
            <v>0</v>
          </cell>
          <cell r="I93">
            <v>12</v>
          </cell>
          <cell r="J93">
            <v>8</v>
          </cell>
          <cell r="K93">
            <v>4</v>
          </cell>
          <cell r="L93">
            <v>0</v>
          </cell>
          <cell r="M93">
            <v>12</v>
          </cell>
          <cell r="N93">
            <v>3.4</v>
          </cell>
          <cell r="O93">
            <v>11982.45</v>
          </cell>
          <cell r="P93">
            <v>77.8</v>
          </cell>
        </row>
        <row r="94">
          <cell r="A94">
            <v>11.001</v>
          </cell>
          <cell r="C94" t="str">
            <v>OTHER KIDNEY &amp; URINARY TRACT DIAGNOSES, SIGNS &amp; SYMPTOMS                          </v>
          </cell>
          <cell r="D94">
            <v>1</v>
          </cell>
          <cell r="E94">
            <v>4</v>
          </cell>
          <cell r="F94">
            <v>5</v>
          </cell>
          <cell r="G94">
            <v>1</v>
          </cell>
          <cell r="H94">
            <v>0</v>
          </cell>
          <cell r="I94">
            <v>11</v>
          </cell>
          <cell r="J94">
            <v>6</v>
          </cell>
          <cell r="K94">
            <v>5</v>
          </cell>
          <cell r="L94">
            <v>0</v>
          </cell>
          <cell r="M94">
            <v>11</v>
          </cell>
          <cell r="N94">
            <v>2.1</v>
          </cell>
          <cell r="O94">
            <v>14389.91</v>
          </cell>
          <cell r="P94">
            <v>48.5</v>
          </cell>
        </row>
        <row r="95">
          <cell r="A95">
            <v>11.001</v>
          </cell>
          <cell r="C95" t="str">
            <v>KNEE JOINT REPLACEMENT                                                            </v>
          </cell>
          <cell r="D95">
            <v>0</v>
          </cell>
          <cell r="E95">
            <v>0</v>
          </cell>
          <cell r="F95">
            <v>6</v>
          </cell>
          <cell r="G95">
            <v>5</v>
          </cell>
          <cell r="H95">
            <v>0</v>
          </cell>
          <cell r="I95">
            <v>11</v>
          </cell>
          <cell r="J95">
            <v>4</v>
          </cell>
          <cell r="K95">
            <v>7</v>
          </cell>
          <cell r="L95">
            <v>0</v>
          </cell>
          <cell r="M95">
            <v>11</v>
          </cell>
          <cell r="N95">
            <v>3.3</v>
          </cell>
          <cell r="O95">
            <v>41908.1</v>
          </cell>
          <cell r="P95">
            <v>65.5</v>
          </cell>
        </row>
        <row r="96">
          <cell r="A96">
            <v>11.001</v>
          </cell>
          <cell r="C96" t="str">
            <v>OTHER DISORDERS OF THE LIVER                                                      </v>
          </cell>
          <cell r="D96">
            <v>1</v>
          </cell>
          <cell r="E96">
            <v>2</v>
          </cell>
          <cell r="F96">
            <v>5</v>
          </cell>
          <cell r="G96">
            <v>3</v>
          </cell>
          <cell r="H96">
            <v>0</v>
          </cell>
          <cell r="I96">
            <v>11</v>
          </cell>
          <cell r="J96">
            <v>4</v>
          </cell>
          <cell r="K96">
            <v>7</v>
          </cell>
          <cell r="L96">
            <v>0</v>
          </cell>
          <cell r="M96">
            <v>11</v>
          </cell>
          <cell r="N96">
            <v>4.3</v>
          </cell>
          <cell r="O96">
            <v>13636.32</v>
          </cell>
          <cell r="P96">
            <v>47.7</v>
          </cell>
        </row>
        <row r="97">
          <cell r="A97">
            <v>11.001</v>
          </cell>
          <cell r="C97" t="str">
            <v>RESPIRATORY SYSTEM DIAGNOSIS W VENTILATOR SUPPORT 96+ HOURS                       </v>
          </cell>
          <cell r="D97">
            <v>0</v>
          </cell>
          <cell r="E97">
            <v>2</v>
          </cell>
          <cell r="F97">
            <v>4</v>
          </cell>
          <cell r="G97">
            <v>5</v>
          </cell>
          <cell r="H97">
            <v>0</v>
          </cell>
          <cell r="I97">
            <v>11</v>
          </cell>
          <cell r="J97">
            <v>7</v>
          </cell>
          <cell r="K97">
            <v>4</v>
          </cell>
          <cell r="L97">
            <v>0</v>
          </cell>
          <cell r="M97">
            <v>11</v>
          </cell>
          <cell r="N97">
            <v>15</v>
          </cell>
          <cell r="O97">
            <v>88780.58</v>
          </cell>
          <cell r="P97">
            <v>60.5</v>
          </cell>
        </row>
        <row r="98">
          <cell r="A98">
            <v>11</v>
          </cell>
          <cell r="C98" t="str">
            <v>OTHER EAR, NOSE, MOUTH,THROAT &amp; CRANIAL/FACIAL DIAGNOSES                          </v>
          </cell>
          <cell r="D98">
            <v>0</v>
          </cell>
          <cell r="E98">
            <v>1</v>
          </cell>
          <cell r="F98">
            <v>5</v>
          </cell>
          <cell r="G98">
            <v>5</v>
          </cell>
          <cell r="H98">
            <v>0</v>
          </cell>
          <cell r="I98">
            <v>11</v>
          </cell>
          <cell r="J98">
            <v>7</v>
          </cell>
          <cell r="K98">
            <v>4</v>
          </cell>
          <cell r="L98">
            <v>0</v>
          </cell>
          <cell r="M98">
            <v>11</v>
          </cell>
          <cell r="N98">
            <v>2.5</v>
          </cell>
          <cell r="O98">
            <v>10674.79</v>
          </cell>
          <cell r="P98">
            <v>62.8</v>
          </cell>
        </row>
        <row r="99">
          <cell r="A99">
            <v>10.001</v>
          </cell>
          <cell r="C99" t="str">
            <v>FEVER                                                                             </v>
          </cell>
          <cell r="D99">
            <v>6</v>
          </cell>
          <cell r="E99">
            <v>0</v>
          </cell>
          <cell r="F99">
            <v>0</v>
          </cell>
          <cell r="G99">
            <v>4</v>
          </cell>
          <cell r="H99">
            <v>0</v>
          </cell>
          <cell r="I99">
            <v>10</v>
          </cell>
          <cell r="J99">
            <v>3</v>
          </cell>
          <cell r="K99">
            <v>7</v>
          </cell>
          <cell r="L99">
            <v>0</v>
          </cell>
          <cell r="M99">
            <v>10</v>
          </cell>
          <cell r="N99">
            <v>1.8</v>
          </cell>
          <cell r="O99">
            <v>7757.02</v>
          </cell>
          <cell r="P99">
            <v>36.2</v>
          </cell>
        </row>
        <row r="100">
          <cell r="A100">
            <v>10.001</v>
          </cell>
          <cell r="C100" t="str">
            <v>NEONATE BIRTHWT &gt;2499G W MAJOR ANOMALY                                            </v>
          </cell>
          <cell r="D100">
            <v>10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10</v>
          </cell>
          <cell r="J100">
            <v>7</v>
          </cell>
          <cell r="K100">
            <v>3</v>
          </cell>
          <cell r="L100">
            <v>0</v>
          </cell>
          <cell r="M100">
            <v>10</v>
          </cell>
          <cell r="N100">
            <v>2</v>
          </cell>
          <cell r="O100">
            <v>2847.5</v>
          </cell>
          <cell r="P100">
            <v>0</v>
          </cell>
        </row>
        <row r="101">
          <cell r="A101">
            <v>10.001</v>
          </cell>
          <cell r="C101" t="str">
            <v>POSTPARTUM &amp; POST ABORTION DIAGNOSES W/O PROCEDURE                                </v>
          </cell>
          <cell r="D101">
            <v>1</v>
          </cell>
          <cell r="E101">
            <v>9</v>
          </cell>
          <cell r="F101">
            <v>0</v>
          </cell>
          <cell r="G101">
            <v>0</v>
          </cell>
          <cell r="H101">
            <v>0</v>
          </cell>
          <cell r="I101">
            <v>10</v>
          </cell>
          <cell r="J101">
            <v>0</v>
          </cell>
          <cell r="K101">
            <v>10</v>
          </cell>
          <cell r="L101">
            <v>0</v>
          </cell>
          <cell r="M101">
            <v>10</v>
          </cell>
          <cell r="N101">
            <v>1.8</v>
          </cell>
          <cell r="O101">
            <v>6144</v>
          </cell>
          <cell r="P101">
            <v>24.4</v>
          </cell>
        </row>
        <row r="102">
          <cell r="A102">
            <v>10.001</v>
          </cell>
          <cell r="C102" t="str">
            <v>ABDOMINAL PAIN                                                                    </v>
          </cell>
          <cell r="D102">
            <v>0</v>
          </cell>
          <cell r="E102">
            <v>5</v>
          </cell>
          <cell r="F102">
            <v>3</v>
          </cell>
          <cell r="G102">
            <v>2</v>
          </cell>
          <cell r="H102">
            <v>0</v>
          </cell>
          <cell r="I102">
            <v>10</v>
          </cell>
          <cell r="J102">
            <v>3</v>
          </cell>
          <cell r="K102">
            <v>7</v>
          </cell>
          <cell r="L102">
            <v>0</v>
          </cell>
          <cell r="M102">
            <v>10</v>
          </cell>
          <cell r="N102">
            <v>2.1</v>
          </cell>
          <cell r="O102">
            <v>11569.89</v>
          </cell>
          <cell r="P102">
            <v>47.5</v>
          </cell>
        </row>
        <row r="103">
          <cell r="A103">
            <v>10</v>
          </cell>
          <cell r="C103" t="str">
            <v>OTHER ESOPHAGEAL DISORDERS                                                        </v>
          </cell>
          <cell r="D103">
            <v>0</v>
          </cell>
          <cell r="E103">
            <v>2</v>
          </cell>
          <cell r="F103">
            <v>4</v>
          </cell>
          <cell r="G103">
            <v>4</v>
          </cell>
          <cell r="H103">
            <v>0</v>
          </cell>
          <cell r="I103">
            <v>10</v>
          </cell>
          <cell r="J103">
            <v>6</v>
          </cell>
          <cell r="K103">
            <v>4</v>
          </cell>
          <cell r="L103">
            <v>0</v>
          </cell>
          <cell r="M103">
            <v>10</v>
          </cell>
          <cell r="N103">
            <v>4.7</v>
          </cell>
          <cell r="O103">
            <v>17909.5</v>
          </cell>
          <cell r="P103">
            <v>60.7</v>
          </cell>
        </row>
        <row r="104">
          <cell r="A104">
            <v>9.001</v>
          </cell>
          <cell r="C104" t="str">
            <v>HIV W MAJOR HIV RELATED CONDITION                                                 </v>
          </cell>
          <cell r="D104">
            <v>0</v>
          </cell>
          <cell r="E104">
            <v>6</v>
          </cell>
          <cell r="F104">
            <v>2</v>
          </cell>
          <cell r="G104">
            <v>1</v>
          </cell>
          <cell r="H104">
            <v>0</v>
          </cell>
          <cell r="I104">
            <v>9</v>
          </cell>
          <cell r="J104">
            <v>3</v>
          </cell>
          <cell r="K104">
            <v>6</v>
          </cell>
          <cell r="L104">
            <v>0</v>
          </cell>
          <cell r="M104">
            <v>9</v>
          </cell>
          <cell r="N104">
            <v>5.2</v>
          </cell>
          <cell r="O104">
            <v>18716.23</v>
          </cell>
          <cell r="P104">
            <v>45.4</v>
          </cell>
        </row>
        <row r="105">
          <cell r="A105">
            <v>9.001</v>
          </cell>
          <cell r="C105" t="str">
            <v>MAJOR HEMATOLOGIC/IMMUNOLOGIC DIAG EXC SICKLE CELL CRISIS &amp; COAGUL                </v>
          </cell>
          <cell r="D105">
            <v>0</v>
          </cell>
          <cell r="E105">
            <v>0</v>
          </cell>
          <cell r="F105">
            <v>6</v>
          </cell>
          <cell r="G105">
            <v>3</v>
          </cell>
          <cell r="H105">
            <v>0</v>
          </cell>
          <cell r="I105">
            <v>9</v>
          </cell>
          <cell r="J105">
            <v>6</v>
          </cell>
          <cell r="K105">
            <v>3</v>
          </cell>
          <cell r="L105">
            <v>0</v>
          </cell>
          <cell r="M105">
            <v>9</v>
          </cell>
          <cell r="N105">
            <v>4.7</v>
          </cell>
          <cell r="O105">
            <v>17206.09</v>
          </cell>
          <cell r="P105">
            <v>64.4</v>
          </cell>
        </row>
        <row r="106">
          <cell r="A106">
            <v>9.001</v>
          </cell>
          <cell r="C106" t="str">
            <v>NEONATE BIRTHWT &gt;2499G W CONGENITAL/PERINATAL INFECTION                           </v>
          </cell>
          <cell r="D106">
            <v>9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9</v>
          </cell>
          <cell r="J106">
            <v>4</v>
          </cell>
          <cell r="K106">
            <v>5</v>
          </cell>
          <cell r="L106">
            <v>0</v>
          </cell>
          <cell r="M106">
            <v>9</v>
          </cell>
          <cell r="N106">
            <v>6.3</v>
          </cell>
          <cell r="O106">
            <v>6781.22</v>
          </cell>
          <cell r="P106">
            <v>0</v>
          </cell>
        </row>
        <row r="107">
          <cell r="A107">
            <v>9.001</v>
          </cell>
          <cell r="C107" t="str">
            <v>MALFUNCTION, REACTION, COMPLIC OF GENITOURINARY DEVICE OR PROC                    </v>
          </cell>
          <cell r="D107">
            <v>0</v>
          </cell>
          <cell r="E107">
            <v>2</v>
          </cell>
          <cell r="F107">
            <v>1</v>
          </cell>
          <cell r="G107">
            <v>6</v>
          </cell>
          <cell r="H107">
            <v>0</v>
          </cell>
          <cell r="I107">
            <v>9</v>
          </cell>
          <cell r="J107">
            <v>7</v>
          </cell>
          <cell r="K107">
            <v>2</v>
          </cell>
          <cell r="L107">
            <v>0</v>
          </cell>
          <cell r="M107">
            <v>9</v>
          </cell>
          <cell r="N107">
            <v>3.7</v>
          </cell>
          <cell r="O107">
            <v>12604.63</v>
          </cell>
          <cell r="P107">
            <v>65.7</v>
          </cell>
        </row>
        <row r="108">
          <cell r="A108">
            <v>9.001</v>
          </cell>
          <cell r="C108" t="str">
            <v>CONTUSION, OPEN WOUND &amp; OTHER TRAUMA TO SKIN &amp; SUBCUTANEOUS TISSUE                </v>
          </cell>
          <cell r="D108">
            <v>0</v>
          </cell>
          <cell r="E108">
            <v>0</v>
          </cell>
          <cell r="F108">
            <v>2</v>
          </cell>
          <cell r="G108">
            <v>7</v>
          </cell>
          <cell r="H108">
            <v>0</v>
          </cell>
          <cell r="I108">
            <v>9</v>
          </cell>
          <cell r="J108">
            <v>2</v>
          </cell>
          <cell r="K108">
            <v>7</v>
          </cell>
          <cell r="L108">
            <v>0</v>
          </cell>
          <cell r="M108">
            <v>9</v>
          </cell>
          <cell r="N108">
            <v>4.7</v>
          </cell>
          <cell r="O108">
            <v>20528.78</v>
          </cell>
          <cell r="P108">
            <v>74.7</v>
          </cell>
        </row>
        <row r="109">
          <cell r="A109">
            <v>9.001</v>
          </cell>
          <cell r="C109" t="str">
            <v>FOOT &amp; TOE PROCEDURES                                                             </v>
          </cell>
          <cell r="D109">
            <v>0</v>
          </cell>
          <cell r="E109">
            <v>2</v>
          </cell>
          <cell r="F109">
            <v>6</v>
          </cell>
          <cell r="G109">
            <v>1</v>
          </cell>
          <cell r="H109">
            <v>0</v>
          </cell>
          <cell r="I109">
            <v>9</v>
          </cell>
          <cell r="J109">
            <v>7</v>
          </cell>
          <cell r="K109">
            <v>2</v>
          </cell>
          <cell r="L109">
            <v>0</v>
          </cell>
          <cell r="M109">
            <v>9</v>
          </cell>
          <cell r="N109">
            <v>7.1</v>
          </cell>
          <cell r="O109">
            <v>44738.06</v>
          </cell>
          <cell r="P109">
            <v>53.2</v>
          </cell>
        </row>
        <row r="110">
          <cell r="A110">
            <v>9.001</v>
          </cell>
          <cell r="C110" t="str">
            <v>ALCOHOLIC LIVER DISEASE                                                           </v>
          </cell>
          <cell r="D110">
            <v>0</v>
          </cell>
          <cell r="E110">
            <v>1</v>
          </cell>
          <cell r="F110">
            <v>4</v>
          </cell>
          <cell r="G110">
            <v>4</v>
          </cell>
          <cell r="H110">
            <v>0</v>
          </cell>
          <cell r="I110">
            <v>9</v>
          </cell>
          <cell r="J110">
            <v>7</v>
          </cell>
          <cell r="K110">
            <v>2</v>
          </cell>
          <cell r="L110">
            <v>0</v>
          </cell>
          <cell r="M110">
            <v>9</v>
          </cell>
          <cell r="N110">
            <v>7</v>
          </cell>
          <cell r="O110">
            <v>24859.74</v>
          </cell>
          <cell r="P110">
            <v>60.9</v>
          </cell>
        </row>
        <row r="111">
          <cell r="A111">
            <v>9.001</v>
          </cell>
          <cell r="C111" t="str">
            <v>MAJOR RESPIRATORY &amp; CHEST PROCEDURES                                              </v>
          </cell>
          <cell r="D111">
            <v>0</v>
          </cell>
          <cell r="E111">
            <v>1</v>
          </cell>
          <cell r="F111">
            <v>4</v>
          </cell>
          <cell r="G111">
            <v>4</v>
          </cell>
          <cell r="H111">
            <v>0</v>
          </cell>
          <cell r="I111">
            <v>9</v>
          </cell>
          <cell r="J111">
            <v>4</v>
          </cell>
          <cell r="K111">
            <v>5</v>
          </cell>
          <cell r="L111">
            <v>0</v>
          </cell>
          <cell r="M111">
            <v>9</v>
          </cell>
          <cell r="N111">
            <v>11.2</v>
          </cell>
          <cell r="O111">
            <v>71151.46</v>
          </cell>
          <cell r="P111">
            <v>65.8</v>
          </cell>
        </row>
        <row r="112">
          <cell r="A112">
            <v>9</v>
          </cell>
          <cell r="C112" t="str">
            <v>NONSPECIFIC CVA &amp; PRECEREBRAL OCCLUSION W/O INFARCT                               </v>
          </cell>
          <cell r="D112">
            <v>0</v>
          </cell>
          <cell r="E112">
            <v>1</v>
          </cell>
          <cell r="F112">
            <v>4</v>
          </cell>
          <cell r="G112">
            <v>4</v>
          </cell>
          <cell r="H112">
            <v>0</v>
          </cell>
          <cell r="I112">
            <v>9</v>
          </cell>
          <cell r="J112">
            <v>4</v>
          </cell>
          <cell r="K112">
            <v>5</v>
          </cell>
          <cell r="L112">
            <v>0</v>
          </cell>
          <cell r="M112">
            <v>9</v>
          </cell>
          <cell r="N112">
            <v>2.1</v>
          </cell>
          <cell r="O112">
            <v>15235.88</v>
          </cell>
          <cell r="P112">
            <v>63.4</v>
          </cell>
        </row>
        <row r="113">
          <cell r="A113">
            <v>8.001</v>
          </cell>
          <cell r="C113" t="str">
            <v>OTHER INFECTIOUS &amp; PARASITIC DISEASES                                             </v>
          </cell>
          <cell r="D113">
            <v>1</v>
          </cell>
          <cell r="E113">
            <v>2</v>
          </cell>
          <cell r="F113">
            <v>2</v>
          </cell>
          <cell r="G113">
            <v>3</v>
          </cell>
          <cell r="H113">
            <v>0</v>
          </cell>
          <cell r="I113">
            <v>8</v>
          </cell>
          <cell r="J113">
            <v>4</v>
          </cell>
          <cell r="K113">
            <v>4</v>
          </cell>
          <cell r="L113">
            <v>0</v>
          </cell>
          <cell r="M113">
            <v>8</v>
          </cell>
          <cell r="N113">
            <v>6</v>
          </cell>
          <cell r="O113">
            <v>14197.01</v>
          </cell>
          <cell r="P113">
            <v>55.9</v>
          </cell>
        </row>
        <row r="114">
          <cell r="A114">
            <v>8.001</v>
          </cell>
          <cell r="C114" t="str">
            <v>SICKLE CELL ANEMIA CRISIS                                                         </v>
          </cell>
          <cell r="D114">
            <v>1</v>
          </cell>
          <cell r="E114">
            <v>4</v>
          </cell>
          <cell r="F114">
            <v>3</v>
          </cell>
          <cell r="G114">
            <v>0</v>
          </cell>
          <cell r="H114">
            <v>0</v>
          </cell>
          <cell r="I114">
            <v>8</v>
          </cell>
          <cell r="J114">
            <v>4</v>
          </cell>
          <cell r="K114">
            <v>4</v>
          </cell>
          <cell r="L114">
            <v>0</v>
          </cell>
          <cell r="M114">
            <v>8</v>
          </cell>
          <cell r="N114">
            <v>4.3</v>
          </cell>
          <cell r="O114">
            <v>12794.25</v>
          </cell>
          <cell r="P114">
            <v>34.6</v>
          </cell>
        </row>
        <row r="115">
          <cell r="A115">
            <v>8.001</v>
          </cell>
          <cell r="C115" t="str">
            <v>FRACTURES &amp; DISLOCATIONS EXCEPT FEMUR, PELVIS &amp; BACK                              </v>
          </cell>
          <cell r="D115">
            <v>0</v>
          </cell>
          <cell r="E115">
            <v>1</v>
          </cell>
          <cell r="F115">
            <v>1</v>
          </cell>
          <cell r="G115">
            <v>6</v>
          </cell>
          <cell r="H115">
            <v>0</v>
          </cell>
          <cell r="I115">
            <v>8</v>
          </cell>
          <cell r="J115">
            <v>2</v>
          </cell>
          <cell r="K115">
            <v>6</v>
          </cell>
          <cell r="L115">
            <v>0</v>
          </cell>
          <cell r="M115">
            <v>8</v>
          </cell>
          <cell r="N115">
            <v>4</v>
          </cell>
          <cell r="O115">
            <v>19346.09</v>
          </cell>
          <cell r="P115">
            <v>69.1</v>
          </cell>
        </row>
        <row r="116">
          <cell r="A116">
            <v>8</v>
          </cell>
          <cell r="C116" t="str">
            <v>INFECTIONS OF UPPER RESPIRATORY TRACT                                             </v>
          </cell>
          <cell r="D116">
            <v>1</v>
          </cell>
          <cell r="E116">
            <v>5</v>
          </cell>
          <cell r="F116">
            <v>2</v>
          </cell>
          <cell r="G116">
            <v>0</v>
          </cell>
          <cell r="H116">
            <v>0</v>
          </cell>
          <cell r="I116">
            <v>8</v>
          </cell>
          <cell r="J116">
            <v>5</v>
          </cell>
          <cell r="K116">
            <v>3</v>
          </cell>
          <cell r="L116">
            <v>0</v>
          </cell>
          <cell r="M116">
            <v>8</v>
          </cell>
          <cell r="N116">
            <v>3.7</v>
          </cell>
          <cell r="O116">
            <v>15351.88</v>
          </cell>
          <cell r="P116">
            <v>35</v>
          </cell>
        </row>
        <row r="117">
          <cell r="A117">
            <v>7.001</v>
          </cell>
          <cell r="C117" t="str">
            <v>VIRAL ILLNESS                                                                     </v>
          </cell>
          <cell r="D117">
            <v>4</v>
          </cell>
          <cell r="E117">
            <v>1</v>
          </cell>
          <cell r="F117">
            <v>1</v>
          </cell>
          <cell r="G117">
            <v>1</v>
          </cell>
          <cell r="H117">
            <v>0</v>
          </cell>
          <cell r="I117">
            <v>7</v>
          </cell>
          <cell r="J117">
            <v>3</v>
          </cell>
          <cell r="K117">
            <v>4</v>
          </cell>
          <cell r="L117">
            <v>0</v>
          </cell>
          <cell r="M117">
            <v>7</v>
          </cell>
          <cell r="N117">
            <v>4</v>
          </cell>
          <cell r="O117">
            <v>8620.98</v>
          </cell>
          <cell r="P117">
            <v>23.3</v>
          </cell>
        </row>
        <row r="118">
          <cell r="A118">
            <v>7.001</v>
          </cell>
          <cell r="C118" t="str">
            <v>UTERINE &amp; ADNEXA PROCEDURES FOR LEIOMYOMA                                         </v>
          </cell>
          <cell r="D118">
            <v>0</v>
          </cell>
          <cell r="E118">
            <v>3</v>
          </cell>
          <cell r="F118">
            <v>4</v>
          </cell>
          <cell r="G118">
            <v>0</v>
          </cell>
          <cell r="H118">
            <v>0</v>
          </cell>
          <cell r="I118">
            <v>7</v>
          </cell>
          <cell r="J118">
            <v>0</v>
          </cell>
          <cell r="K118">
            <v>7</v>
          </cell>
          <cell r="L118">
            <v>0</v>
          </cell>
          <cell r="M118">
            <v>7</v>
          </cell>
          <cell r="N118">
            <v>2</v>
          </cell>
          <cell r="O118">
            <v>20719.09</v>
          </cell>
          <cell r="P118">
            <v>45</v>
          </cell>
        </row>
        <row r="119">
          <cell r="A119">
            <v>7.001</v>
          </cell>
          <cell r="C119" t="str">
            <v>DISORDERS OF GALLBLADDER &amp; BILIARY TRACT                                          </v>
          </cell>
          <cell r="D119">
            <v>0</v>
          </cell>
          <cell r="E119">
            <v>2</v>
          </cell>
          <cell r="F119">
            <v>1</v>
          </cell>
          <cell r="G119">
            <v>4</v>
          </cell>
          <cell r="H119">
            <v>0</v>
          </cell>
          <cell r="I119">
            <v>7</v>
          </cell>
          <cell r="J119">
            <v>5</v>
          </cell>
          <cell r="K119">
            <v>2</v>
          </cell>
          <cell r="L119">
            <v>0</v>
          </cell>
          <cell r="M119">
            <v>7</v>
          </cell>
          <cell r="N119">
            <v>2.4</v>
          </cell>
          <cell r="O119">
            <v>10496</v>
          </cell>
          <cell r="P119">
            <v>59.7</v>
          </cell>
        </row>
        <row r="120">
          <cell r="A120">
            <v>7.001</v>
          </cell>
          <cell r="C120" t="str">
            <v>INFLAMMATORY BOWEL DISEASE                                                        </v>
          </cell>
          <cell r="D120">
            <v>0</v>
          </cell>
          <cell r="E120">
            <v>4</v>
          </cell>
          <cell r="F120">
            <v>2</v>
          </cell>
          <cell r="G120">
            <v>1</v>
          </cell>
          <cell r="H120">
            <v>0</v>
          </cell>
          <cell r="I120">
            <v>7</v>
          </cell>
          <cell r="J120">
            <v>3</v>
          </cell>
          <cell r="K120">
            <v>4</v>
          </cell>
          <cell r="L120">
            <v>0</v>
          </cell>
          <cell r="M120">
            <v>7</v>
          </cell>
          <cell r="N120">
            <v>3.6</v>
          </cell>
          <cell r="O120">
            <v>11125.43</v>
          </cell>
          <cell r="P120">
            <v>47.4</v>
          </cell>
        </row>
        <row r="121">
          <cell r="A121">
            <v>7.001</v>
          </cell>
          <cell r="C121" t="str">
            <v>MALFUNCTION,REACTION,COMPLICATION OF CARDIAC/VASC DEVICE OR PROCEDURE             </v>
          </cell>
          <cell r="D121">
            <v>0</v>
          </cell>
          <cell r="E121">
            <v>2</v>
          </cell>
          <cell r="F121">
            <v>2</v>
          </cell>
          <cell r="G121">
            <v>3</v>
          </cell>
          <cell r="H121">
            <v>0</v>
          </cell>
          <cell r="I121">
            <v>7</v>
          </cell>
          <cell r="J121">
            <v>6</v>
          </cell>
          <cell r="K121">
            <v>1</v>
          </cell>
          <cell r="L121">
            <v>0</v>
          </cell>
          <cell r="M121">
            <v>7</v>
          </cell>
          <cell r="N121">
            <v>5</v>
          </cell>
          <cell r="O121">
            <v>18832.63</v>
          </cell>
          <cell r="P121">
            <v>58.6</v>
          </cell>
        </row>
        <row r="122">
          <cell r="A122">
            <v>7</v>
          </cell>
          <cell r="C122" t="str">
            <v>INTRACRANIAL HEMORRHAGE                                                           </v>
          </cell>
          <cell r="D122">
            <v>0</v>
          </cell>
          <cell r="E122">
            <v>0</v>
          </cell>
          <cell r="F122">
            <v>2</v>
          </cell>
          <cell r="G122">
            <v>5</v>
          </cell>
          <cell r="H122">
            <v>0</v>
          </cell>
          <cell r="I122">
            <v>7</v>
          </cell>
          <cell r="J122">
            <v>5</v>
          </cell>
          <cell r="K122">
            <v>2</v>
          </cell>
          <cell r="L122">
            <v>0</v>
          </cell>
          <cell r="M122">
            <v>7</v>
          </cell>
          <cell r="N122">
            <v>2</v>
          </cell>
          <cell r="O122">
            <v>14032.83</v>
          </cell>
          <cell r="P122">
            <v>72.9</v>
          </cell>
        </row>
        <row r="123">
          <cell r="A123">
            <v>6.001</v>
          </cell>
          <cell r="C123" t="str">
            <v>ALCOHOL ABUSE &amp; DEPENDENCE                                                        </v>
          </cell>
          <cell r="D123">
            <v>0</v>
          </cell>
          <cell r="E123">
            <v>0</v>
          </cell>
          <cell r="F123">
            <v>3</v>
          </cell>
          <cell r="G123">
            <v>3</v>
          </cell>
          <cell r="H123">
            <v>0</v>
          </cell>
          <cell r="I123">
            <v>6</v>
          </cell>
          <cell r="J123">
            <v>4</v>
          </cell>
          <cell r="K123">
            <v>2</v>
          </cell>
          <cell r="L123">
            <v>0</v>
          </cell>
          <cell r="M123">
            <v>6</v>
          </cell>
          <cell r="N123">
            <v>6.7</v>
          </cell>
          <cell r="O123">
            <v>17627.33</v>
          </cell>
          <cell r="P123">
            <v>60</v>
          </cell>
        </row>
        <row r="124">
          <cell r="A124">
            <v>6.001</v>
          </cell>
          <cell r="C124" t="str">
            <v>TRANSURETHRAL PROSTATECTOMY                                                       </v>
          </cell>
          <cell r="D124">
            <v>0</v>
          </cell>
          <cell r="E124">
            <v>0</v>
          </cell>
          <cell r="F124">
            <v>1</v>
          </cell>
          <cell r="G124">
            <v>5</v>
          </cell>
          <cell r="H124">
            <v>0</v>
          </cell>
          <cell r="I124">
            <v>6</v>
          </cell>
          <cell r="J124">
            <v>6</v>
          </cell>
          <cell r="K124">
            <v>0</v>
          </cell>
          <cell r="L124">
            <v>0</v>
          </cell>
          <cell r="M124">
            <v>6</v>
          </cell>
          <cell r="N124">
            <v>1.5</v>
          </cell>
          <cell r="O124">
            <v>12134.81</v>
          </cell>
          <cell r="P124">
            <v>75.3</v>
          </cell>
        </row>
        <row r="125">
          <cell r="A125">
            <v>6.001</v>
          </cell>
          <cell r="C125" t="str">
            <v>URETHRAL &amp; TRANSURETHRAL PROCEDURES                                               </v>
          </cell>
          <cell r="D125">
            <v>0</v>
          </cell>
          <cell r="E125">
            <v>0</v>
          </cell>
          <cell r="F125">
            <v>2</v>
          </cell>
          <cell r="G125">
            <v>4</v>
          </cell>
          <cell r="H125">
            <v>0</v>
          </cell>
          <cell r="I125">
            <v>6</v>
          </cell>
          <cell r="J125">
            <v>5</v>
          </cell>
          <cell r="K125">
            <v>1</v>
          </cell>
          <cell r="L125">
            <v>0</v>
          </cell>
          <cell r="M125">
            <v>6</v>
          </cell>
          <cell r="N125">
            <v>4.2</v>
          </cell>
          <cell r="O125">
            <v>23911.53</v>
          </cell>
          <cell r="P125">
            <v>64.7</v>
          </cell>
        </row>
        <row r="126">
          <cell r="A126">
            <v>6.001</v>
          </cell>
          <cell r="C126" t="str">
            <v>OTHER BLADDER PROCEDURES                                                          </v>
          </cell>
          <cell r="D126">
            <v>0</v>
          </cell>
          <cell r="E126">
            <v>0</v>
          </cell>
          <cell r="F126">
            <v>1</v>
          </cell>
          <cell r="G126">
            <v>5</v>
          </cell>
          <cell r="H126">
            <v>0</v>
          </cell>
          <cell r="I126">
            <v>6</v>
          </cell>
          <cell r="J126">
            <v>5</v>
          </cell>
          <cell r="K126">
            <v>1</v>
          </cell>
          <cell r="L126">
            <v>0</v>
          </cell>
          <cell r="M126">
            <v>6</v>
          </cell>
          <cell r="N126">
            <v>3.7</v>
          </cell>
          <cell r="O126">
            <v>23166.7</v>
          </cell>
          <cell r="P126">
            <v>74.3</v>
          </cell>
        </row>
        <row r="127">
          <cell r="A127">
            <v>6.001</v>
          </cell>
          <cell r="C127" t="str">
            <v>OTHER ENDOCRINE DISORDERS                                                         </v>
          </cell>
          <cell r="D127">
            <v>0</v>
          </cell>
          <cell r="E127">
            <v>2</v>
          </cell>
          <cell r="F127">
            <v>0</v>
          </cell>
          <cell r="G127">
            <v>4</v>
          </cell>
          <cell r="H127">
            <v>0</v>
          </cell>
          <cell r="I127">
            <v>6</v>
          </cell>
          <cell r="J127">
            <v>3</v>
          </cell>
          <cell r="K127">
            <v>3</v>
          </cell>
          <cell r="L127">
            <v>0</v>
          </cell>
          <cell r="M127">
            <v>6</v>
          </cell>
          <cell r="N127">
            <v>2.2</v>
          </cell>
          <cell r="O127">
            <v>12453.51</v>
          </cell>
          <cell r="P127">
            <v>65</v>
          </cell>
        </row>
        <row r="128">
          <cell r="A128">
            <v>6.001</v>
          </cell>
          <cell r="C128" t="str">
            <v>OTHER SKIN, SUBCUTANEOUS TISSUE &amp; BREAST DISORDERS                                </v>
          </cell>
          <cell r="D128">
            <v>1</v>
          </cell>
          <cell r="E128">
            <v>1</v>
          </cell>
          <cell r="F128">
            <v>2</v>
          </cell>
          <cell r="G128">
            <v>2</v>
          </cell>
          <cell r="H128">
            <v>0</v>
          </cell>
          <cell r="I128">
            <v>6</v>
          </cell>
          <cell r="J128">
            <v>2</v>
          </cell>
          <cell r="K128">
            <v>4</v>
          </cell>
          <cell r="L128">
            <v>0</v>
          </cell>
          <cell r="M128">
            <v>6</v>
          </cell>
          <cell r="N128">
            <v>2.7</v>
          </cell>
          <cell r="O128">
            <v>7728.97</v>
          </cell>
          <cell r="P128">
            <v>50</v>
          </cell>
        </row>
        <row r="129">
          <cell r="A129">
            <v>6.001</v>
          </cell>
          <cell r="C129" t="str">
            <v>MASTECTOMY PROCEDURES                                                             </v>
          </cell>
          <cell r="D129">
            <v>0</v>
          </cell>
          <cell r="E129">
            <v>2</v>
          </cell>
          <cell r="F129">
            <v>3</v>
          </cell>
          <cell r="G129">
            <v>1</v>
          </cell>
          <cell r="H129">
            <v>0</v>
          </cell>
          <cell r="I129">
            <v>6</v>
          </cell>
          <cell r="J129">
            <v>0</v>
          </cell>
          <cell r="K129">
            <v>6</v>
          </cell>
          <cell r="L129">
            <v>0</v>
          </cell>
          <cell r="M129">
            <v>6</v>
          </cell>
          <cell r="N129">
            <v>2.5</v>
          </cell>
          <cell r="O129">
            <v>24091.33</v>
          </cell>
          <cell r="P129">
            <v>52.2</v>
          </cell>
        </row>
        <row r="130">
          <cell r="A130">
            <v>6.001</v>
          </cell>
          <cell r="C130" t="str">
            <v>TENDON, MUSCLE &amp; OTHER SOFT TISSUE PROCEDURES                                     </v>
          </cell>
          <cell r="D130">
            <v>0</v>
          </cell>
          <cell r="E130">
            <v>3</v>
          </cell>
          <cell r="F130">
            <v>2</v>
          </cell>
          <cell r="G130">
            <v>1</v>
          </cell>
          <cell r="H130">
            <v>0</v>
          </cell>
          <cell r="I130">
            <v>6</v>
          </cell>
          <cell r="J130">
            <v>5</v>
          </cell>
          <cell r="K130">
            <v>1</v>
          </cell>
          <cell r="L130">
            <v>0</v>
          </cell>
          <cell r="M130">
            <v>6</v>
          </cell>
          <cell r="N130">
            <v>5.8</v>
          </cell>
          <cell r="O130">
            <v>19970.07</v>
          </cell>
          <cell r="P130">
            <v>50.5</v>
          </cell>
        </row>
        <row r="131">
          <cell r="A131">
            <v>6.001</v>
          </cell>
          <cell r="C131" t="str">
            <v>AMPUTATION OF LOWER LIMB EXCEPT TOES                                              </v>
          </cell>
          <cell r="D131">
            <v>0</v>
          </cell>
          <cell r="E131">
            <v>0</v>
          </cell>
          <cell r="F131">
            <v>2</v>
          </cell>
          <cell r="G131">
            <v>4</v>
          </cell>
          <cell r="H131">
            <v>0</v>
          </cell>
          <cell r="I131">
            <v>6</v>
          </cell>
          <cell r="J131">
            <v>4</v>
          </cell>
          <cell r="K131">
            <v>2</v>
          </cell>
          <cell r="L131">
            <v>0</v>
          </cell>
          <cell r="M131">
            <v>6</v>
          </cell>
          <cell r="N131">
            <v>9</v>
          </cell>
          <cell r="O131">
            <v>36829.03</v>
          </cell>
          <cell r="P131">
            <v>76.3</v>
          </cell>
        </row>
        <row r="132">
          <cell r="A132">
            <v>6.001</v>
          </cell>
          <cell r="C132" t="str">
            <v>INTERSTITIAL LUNG DISEASE                                                         </v>
          </cell>
          <cell r="D132">
            <v>0</v>
          </cell>
          <cell r="E132">
            <v>1</v>
          </cell>
          <cell r="F132">
            <v>3</v>
          </cell>
          <cell r="G132">
            <v>2</v>
          </cell>
          <cell r="H132">
            <v>0</v>
          </cell>
          <cell r="I132">
            <v>6</v>
          </cell>
          <cell r="J132">
            <v>4</v>
          </cell>
          <cell r="K132">
            <v>2</v>
          </cell>
          <cell r="L132">
            <v>0</v>
          </cell>
          <cell r="M132">
            <v>6</v>
          </cell>
          <cell r="N132">
            <v>5.5</v>
          </cell>
          <cell r="O132">
            <v>17864.68</v>
          </cell>
          <cell r="P132">
            <v>60.2</v>
          </cell>
        </row>
        <row r="133">
          <cell r="A133">
            <v>6.001</v>
          </cell>
          <cell r="C133" t="str">
            <v>BRONCHIOLITIS &amp; RSV PNEUMONIA                                                     </v>
          </cell>
          <cell r="D133">
            <v>6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6</v>
          </cell>
          <cell r="J133">
            <v>1</v>
          </cell>
          <cell r="K133">
            <v>5</v>
          </cell>
          <cell r="L133">
            <v>0</v>
          </cell>
          <cell r="M133">
            <v>6</v>
          </cell>
          <cell r="N133">
            <v>3</v>
          </cell>
          <cell r="O133">
            <v>5616.7</v>
          </cell>
          <cell r="P133">
            <v>0.3</v>
          </cell>
        </row>
        <row r="134">
          <cell r="A134">
            <v>6.001</v>
          </cell>
          <cell r="C134" t="str">
            <v>EAR, NOSE, MOUTH, THROAT, CRANIAL/FACIAL MALIGNANCIES                             </v>
          </cell>
          <cell r="D134">
            <v>0</v>
          </cell>
          <cell r="E134">
            <v>1</v>
          </cell>
          <cell r="F134">
            <v>3</v>
          </cell>
          <cell r="G134">
            <v>2</v>
          </cell>
          <cell r="H134">
            <v>0</v>
          </cell>
          <cell r="I134">
            <v>6</v>
          </cell>
          <cell r="J134">
            <v>2</v>
          </cell>
          <cell r="K134">
            <v>4</v>
          </cell>
          <cell r="L134">
            <v>0</v>
          </cell>
          <cell r="M134">
            <v>6</v>
          </cell>
          <cell r="N134">
            <v>4.2</v>
          </cell>
          <cell r="O134">
            <v>20213.67</v>
          </cell>
          <cell r="P134">
            <v>56.3</v>
          </cell>
        </row>
        <row r="135">
          <cell r="A135">
            <v>6.001</v>
          </cell>
          <cell r="C135" t="str">
            <v>VIRAL MENINGITIS                                                                  </v>
          </cell>
          <cell r="D135">
            <v>0</v>
          </cell>
          <cell r="E135">
            <v>3</v>
          </cell>
          <cell r="F135">
            <v>2</v>
          </cell>
          <cell r="G135">
            <v>1</v>
          </cell>
          <cell r="H135">
            <v>0</v>
          </cell>
          <cell r="I135">
            <v>6</v>
          </cell>
          <cell r="J135">
            <v>5</v>
          </cell>
          <cell r="K135">
            <v>1</v>
          </cell>
          <cell r="L135">
            <v>0</v>
          </cell>
          <cell r="M135">
            <v>6</v>
          </cell>
          <cell r="N135">
            <v>3.3</v>
          </cell>
          <cell r="O135">
            <v>13777.05</v>
          </cell>
          <cell r="P135">
            <v>43.3</v>
          </cell>
        </row>
        <row r="136">
          <cell r="A136">
            <v>6</v>
          </cell>
          <cell r="C136" t="str">
            <v>MULTIPLE SCLEROSIS &amp; OTHER DEMYELINATING DISEASES                                 </v>
          </cell>
          <cell r="D136">
            <v>0</v>
          </cell>
          <cell r="E136">
            <v>5</v>
          </cell>
          <cell r="F136">
            <v>1</v>
          </cell>
          <cell r="G136">
            <v>0</v>
          </cell>
          <cell r="H136">
            <v>0</v>
          </cell>
          <cell r="I136">
            <v>6</v>
          </cell>
          <cell r="J136">
            <v>1</v>
          </cell>
          <cell r="K136">
            <v>5</v>
          </cell>
          <cell r="L136">
            <v>0</v>
          </cell>
          <cell r="M136">
            <v>6</v>
          </cell>
          <cell r="N136">
            <v>3.3</v>
          </cell>
          <cell r="O136">
            <v>11798.71</v>
          </cell>
          <cell r="P136">
            <v>38.2</v>
          </cell>
        </row>
        <row r="137">
          <cell r="A137">
            <v>5.001</v>
          </cell>
          <cell r="C137" t="str">
            <v>HIV W MULTIPLE MAJOR HIV RELATED CONDITIONS                                       </v>
          </cell>
          <cell r="D137">
            <v>0</v>
          </cell>
          <cell r="E137">
            <v>2</v>
          </cell>
          <cell r="F137">
            <v>3</v>
          </cell>
          <cell r="G137">
            <v>0</v>
          </cell>
          <cell r="H137">
            <v>0</v>
          </cell>
          <cell r="I137">
            <v>5</v>
          </cell>
          <cell r="J137">
            <v>3</v>
          </cell>
          <cell r="K137">
            <v>2</v>
          </cell>
          <cell r="L137">
            <v>0</v>
          </cell>
          <cell r="M137">
            <v>5</v>
          </cell>
          <cell r="N137">
            <v>15.2</v>
          </cell>
          <cell r="O137">
            <v>69781.88</v>
          </cell>
          <cell r="P137">
            <v>48.2</v>
          </cell>
        </row>
        <row r="138">
          <cell r="A138">
            <v>5.001</v>
          </cell>
          <cell r="C138" t="str">
            <v>VAGINAL DELIVERY W COMPLICATING PROCEDURES EXC STERILIZATION &amp;/OR D&amp;C             </v>
          </cell>
          <cell r="D138">
            <v>0</v>
          </cell>
          <cell r="E138">
            <v>5</v>
          </cell>
          <cell r="F138">
            <v>0</v>
          </cell>
          <cell r="G138">
            <v>0</v>
          </cell>
          <cell r="H138">
            <v>0</v>
          </cell>
          <cell r="I138">
            <v>5</v>
          </cell>
          <cell r="J138">
            <v>0</v>
          </cell>
          <cell r="K138">
            <v>5</v>
          </cell>
          <cell r="L138">
            <v>0</v>
          </cell>
          <cell r="M138">
            <v>5</v>
          </cell>
          <cell r="N138">
            <v>2.4</v>
          </cell>
          <cell r="O138">
            <v>6298.8</v>
          </cell>
          <cell r="P138">
            <v>23.8</v>
          </cell>
        </row>
        <row r="139">
          <cell r="A139">
            <v>5.001</v>
          </cell>
          <cell r="C139" t="str">
            <v>MALE REPRODUCTIVE SYSTEM DIAGNOSES EXCEPT MALIGNANCY                              </v>
          </cell>
          <cell r="D139">
            <v>0</v>
          </cell>
          <cell r="E139">
            <v>3</v>
          </cell>
          <cell r="F139">
            <v>1</v>
          </cell>
          <cell r="G139">
            <v>1</v>
          </cell>
          <cell r="H139">
            <v>0</v>
          </cell>
          <cell r="I139">
            <v>5</v>
          </cell>
          <cell r="J139">
            <v>5</v>
          </cell>
          <cell r="K139">
            <v>0</v>
          </cell>
          <cell r="L139">
            <v>0</v>
          </cell>
          <cell r="M139">
            <v>5</v>
          </cell>
          <cell r="N139">
            <v>6.8</v>
          </cell>
          <cell r="O139">
            <v>16846.55</v>
          </cell>
          <cell r="P139">
            <v>43.8</v>
          </cell>
        </row>
        <row r="140">
          <cell r="A140">
            <v>5.001</v>
          </cell>
          <cell r="C140" t="str">
            <v>KIDNEY &amp; URINARY TRACT PROCEDURES FOR MALIGNANCY                                  </v>
          </cell>
          <cell r="D140">
            <v>0</v>
          </cell>
          <cell r="E140">
            <v>0</v>
          </cell>
          <cell r="F140">
            <v>1</v>
          </cell>
          <cell r="G140">
            <v>4</v>
          </cell>
          <cell r="H140">
            <v>0</v>
          </cell>
          <cell r="I140">
            <v>5</v>
          </cell>
          <cell r="J140">
            <v>1</v>
          </cell>
          <cell r="K140">
            <v>4</v>
          </cell>
          <cell r="L140">
            <v>0</v>
          </cell>
          <cell r="M140">
            <v>5</v>
          </cell>
          <cell r="N140">
            <v>3.4</v>
          </cell>
          <cell r="O140">
            <v>23992</v>
          </cell>
          <cell r="P140">
            <v>71.6</v>
          </cell>
        </row>
        <row r="141">
          <cell r="A141">
            <v>5.001</v>
          </cell>
          <cell r="C141" t="str">
            <v>MALFUNCTION, REACTION &amp; COMPLICATION OF GI DEVICE OR PROCEDURE                    </v>
          </cell>
          <cell r="D141">
            <v>0</v>
          </cell>
          <cell r="E141">
            <v>2</v>
          </cell>
          <cell r="F141">
            <v>1</v>
          </cell>
          <cell r="G141">
            <v>2</v>
          </cell>
          <cell r="H141">
            <v>0</v>
          </cell>
          <cell r="I141">
            <v>5</v>
          </cell>
          <cell r="J141">
            <v>1</v>
          </cell>
          <cell r="K141">
            <v>4</v>
          </cell>
          <cell r="L141">
            <v>0</v>
          </cell>
          <cell r="M141">
            <v>5</v>
          </cell>
          <cell r="N141">
            <v>7</v>
          </cell>
          <cell r="O141">
            <v>14267.36</v>
          </cell>
          <cell r="P141">
            <v>51.2</v>
          </cell>
        </row>
        <row r="142">
          <cell r="A142">
            <v>5.001</v>
          </cell>
          <cell r="C142" t="str">
            <v>GASTROINTESTINAL VASCULAR INSUFFICIENCY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5</v>
          </cell>
          <cell r="H142">
            <v>0</v>
          </cell>
          <cell r="I142">
            <v>5</v>
          </cell>
          <cell r="J142">
            <v>0</v>
          </cell>
          <cell r="K142">
            <v>5</v>
          </cell>
          <cell r="L142">
            <v>0</v>
          </cell>
          <cell r="M142">
            <v>5</v>
          </cell>
          <cell r="N142">
            <v>6</v>
          </cell>
          <cell r="O142">
            <v>18329</v>
          </cell>
          <cell r="P142">
            <v>73.4</v>
          </cell>
        </row>
        <row r="143">
          <cell r="A143">
            <v>5.001</v>
          </cell>
          <cell r="C143" t="str">
            <v>OTHER SMALL &amp; LARGE BOWEL PROCEDURES                                              </v>
          </cell>
          <cell r="D143">
            <v>0</v>
          </cell>
          <cell r="E143">
            <v>1</v>
          </cell>
          <cell r="F143">
            <v>3</v>
          </cell>
          <cell r="G143">
            <v>1</v>
          </cell>
          <cell r="H143">
            <v>0</v>
          </cell>
          <cell r="I143">
            <v>5</v>
          </cell>
          <cell r="J143">
            <v>3</v>
          </cell>
          <cell r="K143">
            <v>2</v>
          </cell>
          <cell r="L143">
            <v>0</v>
          </cell>
          <cell r="M143">
            <v>5</v>
          </cell>
          <cell r="N143">
            <v>6.4</v>
          </cell>
          <cell r="O143">
            <v>40928.8</v>
          </cell>
          <cell r="P143">
            <v>54.8</v>
          </cell>
        </row>
        <row r="144">
          <cell r="A144">
            <v>5.001</v>
          </cell>
          <cell r="C144" t="str">
            <v>CARDIAC PACEMAKER &amp; DEFIBRILLATOR DEVICE REPLACEMENT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5</v>
          </cell>
          <cell r="H144">
            <v>0</v>
          </cell>
          <cell r="I144">
            <v>5</v>
          </cell>
          <cell r="J144">
            <v>2</v>
          </cell>
          <cell r="K144">
            <v>3</v>
          </cell>
          <cell r="L144">
            <v>0</v>
          </cell>
          <cell r="M144">
            <v>5</v>
          </cell>
          <cell r="N144">
            <v>4.2</v>
          </cell>
          <cell r="O144">
            <v>40963.95</v>
          </cell>
          <cell r="P144">
            <v>78</v>
          </cell>
        </row>
        <row r="145">
          <cell r="A145">
            <v>5</v>
          </cell>
          <cell r="C145" t="str">
            <v>PERMANENT CARDIAC PACEMAKER IMPLANT W AMI, HEART FAILURE OR SHOCK                 </v>
          </cell>
          <cell r="D145">
            <v>0</v>
          </cell>
          <cell r="E145">
            <v>0</v>
          </cell>
          <cell r="F145">
            <v>0</v>
          </cell>
          <cell r="G145">
            <v>5</v>
          </cell>
          <cell r="H145">
            <v>0</v>
          </cell>
          <cell r="I145">
            <v>5</v>
          </cell>
          <cell r="J145">
            <v>4</v>
          </cell>
          <cell r="K145">
            <v>1</v>
          </cell>
          <cell r="L145">
            <v>0</v>
          </cell>
          <cell r="M145">
            <v>5</v>
          </cell>
          <cell r="N145">
            <v>9.8</v>
          </cell>
          <cell r="O145">
            <v>72186.72</v>
          </cell>
          <cell r="P145">
            <v>81.4</v>
          </cell>
        </row>
        <row r="146">
          <cell r="A146">
            <v>4.001</v>
          </cell>
          <cell r="C146" t="str">
            <v>LYMPHATIC &amp; OTHER MALIGNANCIES &amp; NEOPLASMS OF UNCERTAIN BEHAVIOR                  </v>
          </cell>
          <cell r="D146">
            <v>0</v>
          </cell>
          <cell r="E146">
            <v>1</v>
          </cell>
          <cell r="F146">
            <v>0</v>
          </cell>
          <cell r="G146">
            <v>3</v>
          </cell>
          <cell r="H146">
            <v>0</v>
          </cell>
          <cell r="I146">
            <v>4</v>
          </cell>
          <cell r="J146">
            <v>3</v>
          </cell>
          <cell r="K146">
            <v>1</v>
          </cell>
          <cell r="L146">
            <v>0</v>
          </cell>
          <cell r="M146">
            <v>4</v>
          </cell>
          <cell r="N146">
            <v>7.5</v>
          </cell>
          <cell r="O146">
            <v>27846.11</v>
          </cell>
          <cell r="P146">
            <v>66.8</v>
          </cell>
        </row>
        <row r="147">
          <cell r="A147">
            <v>4.001</v>
          </cell>
          <cell r="C147" t="str">
            <v>MAJOR MALE PELVIC PROCEDURES                                                      </v>
          </cell>
          <cell r="D147">
            <v>0</v>
          </cell>
          <cell r="E147">
            <v>0</v>
          </cell>
          <cell r="F147">
            <v>1</v>
          </cell>
          <cell r="G147">
            <v>3</v>
          </cell>
          <cell r="H147">
            <v>0</v>
          </cell>
          <cell r="I147">
            <v>4</v>
          </cell>
          <cell r="J147">
            <v>4</v>
          </cell>
          <cell r="K147">
            <v>0</v>
          </cell>
          <cell r="L147">
            <v>0</v>
          </cell>
          <cell r="M147">
            <v>4</v>
          </cell>
          <cell r="N147">
            <v>4</v>
          </cell>
          <cell r="O147">
            <v>26688.88</v>
          </cell>
          <cell r="P147">
            <v>72.3</v>
          </cell>
        </row>
        <row r="148">
          <cell r="A148">
            <v>4.001</v>
          </cell>
          <cell r="C148" t="str">
            <v>MALNUTRITION, FAILURE TO THRIVE &amp; OTHER NUTRITIONAL DISORDERS                     </v>
          </cell>
          <cell r="D148">
            <v>1</v>
          </cell>
          <cell r="E148">
            <v>0</v>
          </cell>
          <cell r="F148">
            <v>0</v>
          </cell>
          <cell r="G148">
            <v>3</v>
          </cell>
          <cell r="H148">
            <v>0</v>
          </cell>
          <cell r="I148">
            <v>4</v>
          </cell>
          <cell r="J148">
            <v>2</v>
          </cell>
          <cell r="K148">
            <v>2</v>
          </cell>
          <cell r="L148">
            <v>0</v>
          </cell>
          <cell r="M148">
            <v>4</v>
          </cell>
          <cell r="N148">
            <v>4.3</v>
          </cell>
          <cell r="O148">
            <v>10318.16</v>
          </cell>
          <cell r="P148">
            <v>60</v>
          </cell>
        </row>
        <row r="149">
          <cell r="A149">
            <v>4.001</v>
          </cell>
          <cell r="C149" t="str">
            <v>OSTEOMYELITIS, SEPTIC ARTHRITIS &amp; OTHER MUSCULOSKELETAL INFECTIONS                </v>
          </cell>
          <cell r="D149">
            <v>0</v>
          </cell>
          <cell r="E149">
            <v>0</v>
          </cell>
          <cell r="F149">
            <v>3</v>
          </cell>
          <cell r="G149">
            <v>1</v>
          </cell>
          <cell r="H149">
            <v>0</v>
          </cell>
          <cell r="I149">
            <v>4</v>
          </cell>
          <cell r="J149">
            <v>3</v>
          </cell>
          <cell r="K149">
            <v>1</v>
          </cell>
          <cell r="L149">
            <v>0</v>
          </cell>
          <cell r="M149">
            <v>4</v>
          </cell>
          <cell r="N149">
            <v>4.3</v>
          </cell>
          <cell r="O149">
            <v>9346.06</v>
          </cell>
          <cell r="P149">
            <v>65.8</v>
          </cell>
        </row>
        <row r="150">
          <cell r="A150">
            <v>4.001</v>
          </cell>
          <cell r="C150" t="str">
            <v>FRACTURE OF PELVIS OR DISLOCATION OF HIP                                          </v>
          </cell>
          <cell r="D150">
            <v>0</v>
          </cell>
          <cell r="E150">
            <v>1</v>
          </cell>
          <cell r="F150">
            <v>0</v>
          </cell>
          <cell r="G150">
            <v>3</v>
          </cell>
          <cell r="H150">
            <v>0</v>
          </cell>
          <cell r="I150">
            <v>4</v>
          </cell>
          <cell r="J150">
            <v>0</v>
          </cell>
          <cell r="K150">
            <v>4</v>
          </cell>
          <cell r="L150">
            <v>0</v>
          </cell>
          <cell r="M150">
            <v>4</v>
          </cell>
          <cell r="N150">
            <v>3.5</v>
          </cell>
          <cell r="O150">
            <v>11124.27</v>
          </cell>
          <cell r="P150">
            <v>72.3</v>
          </cell>
        </row>
        <row r="151">
          <cell r="A151">
            <v>4.001</v>
          </cell>
          <cell r="C151" t="str">
            <v>FRACTURE OF FEMUR                                                                 </v>
          </cell>
          <cell r="D151">
            <v>0</v>
          </cell>
          <cell r="E151">
            <v>1</v>
          </cell>
          <cell r="F151">
            <v>0</v>
          </cell>
          <cell r="G151">
            <v>3</v>
          </cell>
          <cell r="H151">
            <v>0</v>
          </cell>
          <cell r="I151">
            <v>4</v>
          </cell>
          <cell r="J151">
            <v>2</v>
          </cell>
          <cell r="K151">
            <v>2</v>
          </cell>
          <cell r="L151">
            <v>0</v>
          </cell>
          <cell r="M151">
            <v>4</v>
          </cell>
          <cell r="N151">
            <v>3.3</v>
          </cell>
          <cell r="O151">
            <v>11882</v>
          </cell>
          <cell r="P151">
            <v>73</v>
          </cell>
        </row>
        <row r="152">
          <cell r="A152">
            <v>4.001</v>
          </cell>
          <cell r="C152" t="str">
            <v>OTHER CIRCULATORY SYSTEM PROCEDURES                                               </v>
          </cell>
          <cell r="D152">
            <v>0</v>
          </cell>
          <cell r="E152">
            <v>0</v>
          </cell>
          <cell r="F152">
            <v>2</v>
          </cell>
          <cell r="G152">
            <v>2</v>
          </cell>
          <cell r="H152">
            <v>0</v>
          </cell>
          <cell r="I152">
            <v>4</v>
          </cell>
          <cell r="J152">
            <v>4</v>
          </cell>
          <cell r="K152">
            <v>0</v>
          </cell>
          <cell r="L152">
            <v>0</v>
          </cell>
          <cell r="M152">
            <v>4</v>
          </cell>
          <cell r="N152">
            <v>6</v>
          </cell>
          <cell r="O152">
            <v>37273.25</v>
          </cell>
          <cell r="P152">
            <v>70.3</v>
          </cell>
        </row>
        <row r="153">
          <cell r="A153">
            <v>4.001</v>
          </cell>
          <cell r="C153" t="str">
            <v>MAJOR CHEST &amp; RESPIRATORY TRAUMA                                                  </v>
          </cell>
          <cell r="D153">
            <v>0</v>
          </cell>
          <cell r="E153">
            <v>1</v>
          </cell>
          <cell r="F153">
            <v>2</v>
          </cell>
          <cell r="G153">
            <v>1</v>
          </cell>
          <cell r="H153">
            <v>0</v>
          </cell>
          <cell r="I153">
            <v>4</v>
          </cell>
          <cell r="J153">
            <v>3</v>
          </cell>
          <cell r="K153">
            <v>1</v>
          </cell>
          <cell r="L153">
            <v>0</v>
          </cell>
          <cell r="M153">
            <v>4</v>
          </cell>
          <cell r="N153">
            <v>3.3</v>
          </cell>
          <cell r="O153">
            <v>16326.5</v>
          </cell>
          <cell r="P153">
            <v>54</v>
          </cell>
        </row>
        <row r="154">
          <cell r="A154">
            <v>4.001</v>
          </cell>
          <cell r="C154" t="str">
            <v>VERTIGO &amp; OTHER LABYRINTH DISORDERS                                               </v>
          </cell>
          <cell r="D154">
            <v>0</v>
          </cell>
          <cell r="E154">
            <v>0</v>
          </cell>
          <cell r="F154">
            <v>1</v>
          </cell>
          <cell r="G154">
            <v>3</v>
          </cell>
          <cell r="H154">
            <v>0</v>
          </cell>
          <cell r="I154">
            <v>4</v>
          </cell>
          <cell r="J154">
            <v>2</v>
          </cell>
          <cell r="K154">
            <v>2</v>
          </cell>
          <cell r="L154">
            <v>0</v>
          </cell>
          <cell r="M154">
            <v>4</v>
          </cell>
          <cell r="N154">
            <v>1.3</v>
          </cell>
          <cell r="O154">
            <v>9911.63</v>
          </cell>
          <cell r="P154">
            <v>77.5</v>
          </cell>
        </row>
        <row r="155">
          <cell r="A155">
            <v>4.001</v>
          </cell>
          <cell r="C155" t="str">
            <v>EYE DISORDERS EXCEPT MAJOR INFECTIONS                                             </v>
          </cell>
          <cell r="D155">
            <v>1</v>
          </cell>
          <cell r="E155">
            <v>1</v>
          </cell>
          <cell r="F155">
            <v>2</v>
          </cell>
          <cell r="G155">
            <v>0</v>
          </cell>
          <cell r="H155">
            <v>0</v>
          </cell>
          <cell r="I155">
            <v>4</v>
          </cell>
          <cell r="J155">
            <v>0</v>
          </cell>
          <cell r="K155">
            <v>4</v>
          </cell>
          <cell r="L155">
            <v>0</v>
          </cell>
          <cell r="M155">
            <v>4</v>
          </cell>
          <cell r="N155">
            <v>2.5</v>
          </cell>
          <cell r="O155">
            <v>7601</v>
          </cell>
          <cell r="P155">
            <v>36</v>
          </cell>
        </row>
        <row r="156">
          <cell r="A156">
            <v>4.001</v>
          </cell>
          <cell r="C156" t="str">
            <v>OTHER DISORDERS OF NERVOUS SYSTEM                                                 </v>
          </cell>
          <cell r="D156">
            <v>0</v>
          </cell>
          <cell r="E156">
            <v>1</v>
          </cell>
          <cell r="F156">
            <v>2</v>
          </cell>
          <cell r="G156">
            <v>1</v>
          </cell>
          <cell r="H156">
            <v>0</v>
          </cell>
          <cell r="I156">
            <v>4</v>
          </cell>
          <cell r="J156">
            <v>1</v>
          </cell>
          <cell r="K156">
            <v>3</v>
          </cell>
          <cell r="L156">
            <v>0</v>
          </cell>
          <cell r="M156">
            <v>4</v>
          </cell>
          <cell r="N156">
            <v>3.5</v>
          </cell>
          <cell r="O156">
            <v>19579.25</v>
          </cell>
          <cell r="P156">
            <v>47.5</v>
          </cell>
        </row>
        <row r="157">
          <cell r="A157">
            <v>4.001</v>
          </cell>
          <cell r="C157" t="str">
            <v>NON-BACTERIAL INFECTIONS OF NERVOUS SYSTEM EXC VIRAL MENINGITIS                   </v>
          </cell>
          <cell r="D157">
            <v>1</v>
          </cell>
          <cell r="E157">
            <v>1</v>
          </cell>
          <cell r="F157">
            <v>1</v>
          </cell>
          <cell r="G157">
            <v>1</v>
          </cell>
          <cell r="H157">
            <v>0</v>
          </cell>
          <cell r="I157">
            <v>4</v>
          </cell>
          <cell r="J157">
            <v>3</v>
          </cell>
          <cell r="K157">
            <v>1</v>
          </cell>
          <cell r="L157">
            <v>0</v>
          </cell>
          <cell r="M157">
            <v>4</v>
          </cell>
          <cell r="N157">
            <v>8.3</v>
          </cell>
          <cell r="O157">
            <v>27735.63</v>
          </cell>
          <cell r="P157">
            <v>43.5</v>
          </cell>
        </row>
        <row r="158">
          <cell r="A158">
            <v>4</v>
          </cell>
          <cell r="C158" t="str">
            <v>OTHER NERVOUS SYSTEM &amp; RELATED PROCEDURES                                         </v>
          </cell>
          <cell r="D158">
            <v>0</v>
          </cell>
          <cell r="E158">
            <v>0</v>
          </cell>
          <cell r="F158">
            <v>2</v>
          </cell>
          <cell r="G158">
            <v>2</v>
          </cell>
          <cell r="H158">
            <v>0</v>
          </cell>
          <cell r="I158">
            <v>4</v>
          </cell>
          <cell r="J158">
            <v>2</v>
          </cell>
          <cell r="K158">
            <v>2</v>
          </cell>
          <cell r="L158">
            <v>0</v>
          </cell>
          <cell r="M158">
            <v>4</v>
          </cell>
          <cell r="N158">
            <v>3</v>
          </cell>
          <cell r="O158">
            <v>41343.86</v>
          </cell>
          <cell r="P158">
            <v>68</v>
          </cell>
        </row>
        <row r="159">
          <cell r="A159">
            <v>3.001</v>
          </cell>
          <cell r="C159" t="str">
            <v>EXTENSIVE PROCEDURE UNRELATED TO PRINCIPAL DIAGNOSIS                              </v>
          </cell>
          <cell r="D159">
            <v>0</v>
          </cell>
          <cell r="E159">
            <v>0</v>
          </cell>
          <cell r="F159">
            <v>1</v>
          </cell>
          <cell r="G159">
            <v>2</v>
          </cell>
          <cell r="H159">
            <v>0</v>
          </cell>
          <cell r="I159">
            <v>3</v>
          </cell>
          <cell r="J159">
            <v>1</v>
          </cell>
          <cell r="K159">
            <v>2</v>
          </cell>
          <cell r="L159">
            <v>0</v>
          </cell>
          <cell r="M159">
            <v>3</v>
          </cell>
          <cell r="N159">
            <v>10</v>
          </cell>
          <cell r="O159">
            <v>59029.02</v>
          </cell>
          <cell r="P159">
            <v>73.7</v>
          </cell>
        </row>
        <row r="160">
          <cell r="A160">
            <v>3.001</v>
          </cell>
          <cell r="C160" t="str">
            <v>OTHER INJURY, POISONING &amp; TOXIC EFFECT DIAGNOSES                                  </v>
          </cell>
          <cell r="D160">
            <v>0</v>
          </cell>
          <cell r="E160">
            <v>1</v>
          </cell>
          <cell r="F160">
            <v>1</v>
          </cell>
          <cell r="G160">
            <v>1</v>
          </cell>
          <cell r="H160">
            <v>0</v>
          </cell>
          <cell r="I160">
            <v>3</v>
          </cell>
          <cell r="J160">
            <v>2</v>
          </cell>
          <cell r="K160">
            <v>1</v>
          </cell>
          <cell r="L160">
            <v>0</v>
          </cell>
          <cell r="M160">
            <v>3</v>
          </cell>
          <cell r="N160">
            <v>2.3</v>
          </cell>
          <cell r="O160">
            <v>12030</v>
          </cell>
          <cell r="P160">
            <v>63</v>
          </cell>
        </row>
        <row r="161">
          <cell r="A161">
            <v>3.001</v>
          </cell>
          <cell r="C161" t="str">
            <v>OTHER DRUG ABUSE &amp; DEPENDENCE                                                     </v>
          </cell>
          <cell r="D161">
            <v>0</v>
          </cell>
          <cell r="E161">
            <v>0</v>
          </cell>
          <cell r="F161">
            <v>3</v>
          </cell>
          <cell r="G161">
            <v>0</v>
          </cell>
          <cell r="H161">
            <v>0</v>
          </cell>
          <cell r="I161">
            <v>3</v>
          </cell>
          <cell r="J161">
            <v>1</v>
          </cell>
          <cell r="K161">
            <v>2</v>
          </cell>
          <cell r="L161">
            <v>0</v>
          </cell>
          <cell r="M161">
            <v>3</v>
          </cell>
          <cell r="N161">
            <v>3</v>
          </cell>
          <cell r="O161">
            <v>14038.8</v>
          </cell>
          <cell r="P161">
            <v>50.7</v>
          </cell>
        </row>
        <row r="162">
          <cell r="A162">
            <v>3.001</v>
          </cell>
          <cell r="C162" t="str">
            <v>LYMPHOMA, MYELOMA &amp; NON-ACUTE LEUKEMIA                                            </v>
          </cell>
          <cell r="D162">
            <v>0</v>
          </cell>
          <cell r="E162">
            <v>0</v>
          </cell>
          <cell r="F162">
            <v>0</v>
          </cell>
          <cell r="G162">
            <v>3</v>
          </cell>
          <cell r="H162">
            <v>0</v>
          </cell>
          <cell r="I162">
            <v>3</v>
          </cell>
          <cell r="J162">
            <v>2</v>
          </cell>
          <cell r="K162">
            <v>1</v>
          </cell>
          <cell r="L162">
            <v>0</v>
          </cell>
          <cell r="M162">
            <v>3</v>
          </cell>
          <cell r="N162">
            <v>7.7</v>
          </cell>
          <cell r="O162">
            <v>32712.33</v>
          </cell>
          <cell r="P162">
            <v>74</v>
          </cell>
        </row>
        <row r="163">
          <cell r="A163">
            <v>3.001</v>
          </cell>
          <cell r="C163" t="str">
            <v>NEONATE, BIRTHWT &gt;2499G W RESP DIST SYND/OTH MAJ RESP COND                        </v>
          </cell>
          <cell r="D163">
            <v>3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3</v>
          </cell>
          <cell r="J163">
            <v>2</v>
          </cell>
          <cell r="K163">
            <v>1</v>
          </cell>
          <cell r="L163">
            <v>0</v>
          </cell>
          <cell r="M163">
            <v>3</v>
          </cell>
          <cell r="N163">
            <v>8</v>
          </cell>
          <cell r="O163">
            <v>7873</v>
          </cell>
          <cell r="P163">
            <v>0</v>
          </cell>
        </row>
        <row r="164">
          <cell r="A164">
            <v>3.001</v>
          </cell>
          <cell r="C164" t="str">
            <v>NEONATE BWT 1500-1999G W OR W/O OTHER SIGNIFICANT CONDITION                       </v>
          </cell>
          <cell r="D164">
            <v>3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3</v>
          </cell>
          <cell r="J164">
            <v>1</v>
          </cell>
          <cell r="K164">
            <v>2</v>
          </cell>
          <cell r="L164">
            <v>0</v>
          </cell>
          <cell r="M164">
            <v>3</v>
          </cell>
          <cell r="N164">
            <v>5.3</v>
          </cell>
          <cell r="O164">
            <v>5856.57</v>
          </cell>
          <cell r="P164">
            <v>0</v>
          </cell>
        </row>
        <row r="165">
          <cell r="A165">
            <v>3.001</v>
          </cell>
          <cell r="C165" t="str">
            <v>D&amp;C, ASPIRATION CURETTAGE OR HYSTEROTOMY FOR OBSTETRIC DIAGNOSES                  </v>
          </cell>
          <cell r="D165">
            <v>0</v>
          </cell>
          <cell r="E165">
            <v>3</v>
          </cell>
          <cell r="F165">
            <v>0</v>
          </cell>
          <cell r="G165">
            <v>0</v>
          </cell>
          <cell r="H165">
            <v>0</v>
          </cell>
          <cell r="I165">
            <v>3</v>
          </cell>
          <cell r="J165">
            <v>0</v>
          </cell>
          <cell r="K165">
            <v>3</v>
          </cell>
          <cell r="L165">
            <v>0</v>
          </cell>
          <cell r="M165">
            <v>3</v>
          </cell>
          <cell r="N165">
            <v>2.3</v>
          </cell>
          <cell r="O165">
            <v>11424.07</v>
          </cell>
          <cell r="P165">
            <v>23.3</v>
          </cell>
        </row>
        <row r="166">
          <cell r="A166">
            <v>3.001</v>
          </cell>
          <cell r="C166" t="str">
            <v>PENIS PROCEDURES                                                                  </v>
          </cell>
          <cell r="D166">
            <v>0</v>
          </cell>
          <cell r="E166">
            <v>0</v>
          </cell>
          <cell r="F166">
            <v>2</v>
          </cell>
          <cell r="G166">
            <v>1</v>
          </cell>
          <cell r="H166">
            <v>0</v>
          </cell>
          <cell r="I166">
            <v>3</v>
          </cell>
          <cell r="J166">
            <v>3</v>
          </cell>
          <cell r="K166">
            <v>0</v>
          </cell>
          <cell r="L166">
            <v>0</v>
          </cell>
          <cell r="M166">
            <v>3</v>
          </cell>
          <cell r="N166">
            <v>4</v>
          </cell>
          <cell r="O166">
            <v>24245.47</v>
          </cell>
          <cell r="P166">
            <v>63</v>
          </cell>
        </row>
        <row r="167">
          <cell r="A167">
            <v>3.001</v>
          </cell>
          <cell r="C167" t="str">
            <v>RENAL DIALYSIS ACCESS DEVICE PROCEDURE ONLY                                       </v>
          </cell>
          <cell r="D167">
            <v>0</v>
          </cell>
          <cell r="E167">
            <v>2</v>
          </cell>
          <cell r="F167">
            <v>0</v>
          </cell>
          <cell r="G167">
            <v>1</v>
          </cell>
          <cell r="H167">
            <v>0</v>
          </cell>
          <cell r="I167">
            <v>3</v>
          </cell>
          <cell r="J167">
            <v>2</v>
          </cell>
          <cell r="K167">
            <v>1</v>
          </cell>
          <cell r="L167">
            <v>0</v>
          </cell>
          <cell r="M167">
            <v>3</v>
          </cell>
          <cell r="N167">
            <v>4.3</v>
          </cell>
          <cell r="O167">
            <v>30206.33</v>
          </cell>
          <cell r="P167">
            <v>50</v>
          </cell>
        </row>
        <row r="168">
          <cell r="A168">
            <v>3.001</v>
          </cell>
          <cell r="C168" t="str">
            <v>OTHER DIGESTIVE SYSTEM &amp; ABDOMINAL PROCEDURES                                     </v>
          </cell>
          <cell r="D168">
            <v>0</v>
          </cell>
          <cell r="E168">
            <v>0</v>
          </cell>
          <cell r="F168">
            <v>0</v>
          </cell>
          <cell r="G168">
            <v>3</v>
          </cell>
          <cell r="H168">
            <v>0</v>
          </cell>
          <cell r="I168">
            <v>3</v>
          </cell>
          <cell r="J168">
            <v>1</v>
          </cell>
          <cell r="K168">
            <v>2</v>
          </cell>
          <cell r="L168">
            <v>0</v>
          </cell>
          <cell r="M168">
            <v>3</v>
          </cell>
          <cell r="N168">
            <v>7</v>
          </cell>
          <cell r="O168">
            <v>47401.85</v>
          </cell>
          <cell r="P168">
            <v>76</v>
          </cell>
        </row>
        <row r="169">
          <cell r="A169">
            <v>3.001</v>
          </cell>
          <cell r="C169" t="str">
            <v>ANAL PROCEDURES                                                                   </v>
          </cell>
          <cell r="D169">
            <v>0</v>
          </cell>
          <cell r="E169">
            <v>1</v>
          </cell>
          <cell r="F169">
            <v>1</v>
          </cell>
          <cell r="G169">
            <v>1</v>
          </cell>
          <cell r="H169">
            <v>0</v>
          </cell>
          <cell r="I169">
            <v>3</v>
          </cell>
          <cell r="J169">
            <v>1</v>
          </cell>
          <cell r="K169">
            <v>2</v>
          </cell>
          <cell r="L169">
            <v>0</v>
          </cell>
          <cell r="M169">
            <v>3</v>
          </cell>
          <cell r="N169">
            <v>3.7</v>
          </cell>
          <cell r="O169">
            <v>12472.87</v>
          </cell>
          <cell r="P169">
            <v>63.3</v>
          </cell>
        </row>
        <row r="170">
          <cell r="A170">
            <v>3.001</v>
          </cell>
          <cell r="C170" t="str">
            <v>OTHER STOMACH, ESOPHAGEAL &amp; DUODENAL PROCEDURES                                   </v>
          </cell>
          <cell r="D170">
            <v>0</v>
          </cell>
          <cell r="E170">
            <v>0</v>
          </cell>
          <cell r="F170">
            <v>1</v>
          </cell>
          <cell r="G170">
            <v>2</v>
          </cell>
          <cell r="H170">
            <v>0</v>
          </cell>
          <cell r="I170">
            <v>3</v>
          </cell>
          <cell r="J170">
            <v>0</v>
          </cell>
          <cell r="K170">
            <v>3</v>
          </cell>
          <cell r="L170">
            <v>0</v>
          </cell>
          <cell r="M170">
            <v>3</v>
          </cell>
          <cell r="N170">
            <v>3.3</v>
          </cell>
          <cell r="O170">
            <v>27463</v>
          </cell>
          <cell r="P170">
            <v>66</v>
          </cell>
        </row>
        <row r="171">
          <cell r="A171">
            <v>3.001</v>
          </cell>
          <cell r="C171" t="str">
            <v>CARDIAC STRUCTURAL &amp; VALVULAR DISORDERS                                           </v>
          </cell>
          <cell r="D171">
            <v>0</v>
          </cell>
          <cell r="E171">
            <v>0</v>
          </cell>
          <cell r="F171">
            <v>1</v>
          </cell>
          <cell r="G171">
            <v>2</v>
          </cell>
          <cell r="H171">
            <v>0</v>
          </cell>
          <cell r="I171">
            <v>3</v>
          </cell>
          <cell r="J171">
            <v>0</v>
          </cell>
          <cell r="K171">
            <v>3</v>
          </cell>
          <cell r="L171">
            <v>0</v>
          </cell>
          <cell r="M171">
            <v>3</v>
          </cell>
          <cell r="N171">
            <v>4.3</v>
          </cell>
          <cell r="O171">
            <v>12441.56</v>
          </cell>
          <cell r="P171">
            <v>76</v>
          </cell>
        </row>
        <row r="172">
          <cell r="A172">
            <v>3.001</v>
          </cell>
          <cell r="C172" t="str">
            <v>MAJOR THORACIC &amp; ABDOMINAL VASCULAR PROCEDURES                                    </v>
          </cell>
          <cell r="D172">
            <v>0</v>
          </cell>
          <cell r="E172">
            <v>0</v>
          </cell>
          <cell r="F172">
            <v>3</v>
          </cell>
          <cell r="G172">
            <v>0</v>
          </cell>
          <cell r="H172">
            <v>0</v>
          </cell>
          <cell r="I172">
            <v>3</v>
          </cell>
          <cell r="J172">
            <v>1</v>
          </cell>
          <cell r="K172">
            <v>2</v>
          </cell>
          <cell r="L172">
            <v>0</v>
          </cell>
          <cell r="M172">
            <v>3</v>
          </cell>
          <cell r="N172">
            <v>4.7</v>
          </cell>
          <cell r="O172">
            <v>34666</v>
          </cell>
          <cell r="P172">
            <v>55.7</v>
          </cell>
        </row>
        <row r="173">
          <cell r="A173">
            <v>3.001</v>
          </cell>
          <cell r="C173" t="str">
            <v>DENTAL &amp; ORAL DISEASES &amp; INJURIES                                                 </v>
          </cell>
          <cell r="D173">
            <v>0</v>
          </cell>
          <cell r="E173">
            <v>2</v>
          </cell>
          <cell r="F173">
            <v>0</v>
          </cell>
          <cell r="G173">
            <v>1</v>
          </cell>
          <cell r="H173">
            <v>0</v>
          </cell>
          <cell r="I173">
            <v>3</v>
          </cell>
          <cell r="J173">
            <v>1</v>
          </cell>
          <cell r="K173">
            <v>2</v>
          </cell>
          <cell r="L173">
            <v>0</v>
          </cell>
          <cell r="M173">
            <v>3</v>
          </cell>
          <cell r="N173">
            <v>2</v>
          </cell>
          <cell r="O173">
            <v>6312.33</v>
          </cell>
          <cell r="P173">
            <v>42.3</v>
          </cell>
        </row>
        <row r="174">
          <cell r="A174">
            <v>3.001</v>
          </cell>
          <cell r="C174" t="str">
            <v>MIGRAINE &amp; OTHER HEADACHES                                                        </v>
          </cell>
          <cell r="D174">
            <v>0</v>
          </cell>
          <cell r="E174">
            <v>1</v>
          </cell>
          <cell r="F174">
            <v>2</v>
          </cell>
          <cell r="G174">
            <v>0</v>
          </cell>
          <cell r="H174">
            <v>0</v>
          </cell>
          <cell r="I174">
            <v>3</v>
          </cell>
          <cell r="J174">
            <v>1</v>
          </cell>
          <cell r="K174">
            <v>2</v>
          </cell>
          <cell r="L174">
            <v>0</v>
          </cell>
          <cell r="M174">
            <v>3</v>
          </cell>
          <cell r="N174">
            <v>1.7</v>
          </cell>
          <cell r="O174">
            <v>10511.21</v>
          </cell>
          <cell r="P174">
            <v>48</v>
          </cell>
        </row>
        <row r="175">
          <cell r="A175">
            <v>3.001</v>
          </cell>
          <cell r="C175" t="str">
            <v>BACTERIAL &amp; TUBERCULOUS INFECTIONS OF NERVOUS SYSTEM                              </v>
          </cell>
          <cell r="D175">
            <v>0</v>
          </cell>
          <cell r="E175">
            <v>0</v>
          </cell>
          <cell r="F175">
            <v>1</v>
          </cell>
          <cell r="G175">
            <v>2</v>
          </cell>
          <cell r="H175">
            <v>0</v>
          </cell>
          <cell r="I175">
            <v>3</v>
          </cell>
          <cell r="J175">
            <v>2</v>
          </cell>
          <cell r="K175">
            <v>1</v>
          </cell>
          <cell r="L175">
            <v>0</v>
          </cell>
          <cell r="M175">
            <v>3</v>
          </cell>
          <cell r="N175">
            <v>6</v>
          </cell>
          <cell r="O175">
            <v>42481.05</v>
          </cell>
          <cell r="P175">
            <v>67.3</v>
          </cell>
        </row>
        <row r="176">
          <cell r="A176">
            <v>3.001</v>
          </cell>
          <cell r="C176" t="str">
            <v>NERVOUS SYSTEM MALIGNANCY                                                         </v>
          </cell>
          <cell r="D176">
            <v>0</v>
          </cell>
          <cell r="E176">
            <v>0</v>
          </cell>
          <cell r="F176">
            <v>2</v>
          </cell>
          <cell r="G176">
            <v>1</v>
          </cell>
          <cell r="H176">
            <v>0</v>
          </cell>
          <cell r="I176">
            <v>3</v>
          </cell>
          <cell r="J176">
            <v>2</v>
          </cell>
          <cell r="K176">
            <v>1</v>
          </cell>
          <cell r="L176">
            <v>0</v>
          </cell>
          <cell r="M176">
            <v>3</v>
          </cell>
          <cell r="N176">
            <v>3</v>
          </cell>
          <cell r="O176">
            <v>10002</v>
          </cell>
          <cell r="P176">
            <v>64.3</v>
          </cell>
        </row>
        <row r="177">
          <cell r="A177">
            <v>3</v>
          </cell>
          <cell r="C177" t="str">
            <v>TRACHEOSTOMY W LONG TERM MECHANICAL VENTILATION W/O EXTENSIVE PROCEDURE           </v>
          </cell>
          <cell r="D177">
            <v>0</v>
          </cell>
          <cell r="E177">
            <v>1</v>
          </cell>
          <cell r="F177">
            <v>0</v>
          </cell>
          <cell r="G177">
            <v>2</v>
          </cell>
          <cell r="H177">
            <v>0</v>
          </cell>
          <cell r="I177">
            <v>3</v>
          </cell>
          <cell r="J177">
            <v>2</v>
          </cell>
          <cell r="K177">
            <v>1</v>
          </cell>
          <cell r="L177">
            <v>0</v>
          </cell>
          <cell r="M177">
            <v>3</v>
          </cell>
          <cell r="N177">
            <v>35.3</v>
          </cell>
          <cell r="O177">
            <v>241446.58</v>
          </cell>
          <cell r="P177">
            <v>59.3</v>
          </cell>
        </row>
        <row r="178">
          <cell r="A178">
            <v>2.001</v>
          </cell>
          <cell r="C178" t="str">
            <v>HIV W ONE SIGNIF HIV COND OR W/O SIGNIF RELATED COND                              </v>
          </cell>
          <cell r="D178">
            <v>0</v>
          </cell>
          <cell r="E178">
            <v>1</v>
          </cell>
          <cell r="F178">
            <v>1</v>
          </cell>
          <cell r="G178">
            <v>0</v>
          </cell>
          <cell r="H178">
            <v>0</v>
          </cell>
          <cell r="I178">
            <v>2</v>
          </cell>
          <cell r="J178">
            <v>1</v>
          </cell>
          <cell r="K178">
            <v>1</v>
          </cell>
          <cell r="L178">
            <v>0</v>
          </cell>
          <cell r="M178">
            <v>2</v>
          </cell>
          <cell r="N178">
            <v>3</v>
          </cell>
          <cell r="O178">
            <v>15111.3</v>
          </cell>
          <cell r="P178">
            <v>49</v>
          </cell>
        </row>
        <row r="179">
          <cell r="A179">
            <v>2.001</v>
          </cell>
          <cell r="C179" t="str">
            <v>O.R. PROCEDURE FOR OTHER COMPLICATIONS OF TREATMENT                               </v>
          </cell>
          <cell r="D179">
            <v>0</v>
          </cell>
          <cell r="E179">
            <v>0</v>
          </cell>
          <cell r="F179">
            <v>2</v>
          </cell>
          <cell r="G179">
            <v>0</v>
          </cell>
          <cell r="H179">
            <v>0</v>
          </cell>
          <cell r="I179">
            <v>2</v>
          </cell>
          <cell r="J179">
            <v>0</v>
          </cell>
          <cell r="K179">
            <v>2</v>
          </cell>
          <cell r="L179">
            <v>0</v>
          </cell>
          <cell r="M179">
            <v>2</v>
          </cell>
          <cell r="N179">
            <v>2</v>
          </cell>
          <cell r="O179">
            <v>20426</v>
          </cell>
          <cell r="P179">
            <v>50</v>
          </cell>
        </row>
        <row r="180">
          <cell r="A180">
            <v>2.001</v>
          </cell>
          <cell r="C180" t="str">
            <v>ACUTE ANXIETY &amp; DELIRIUM STATES                                                   </v>
          </cell>
          <cell r="D180">
            <v>0</v>
          </cell>
          <cell r="E180">
            <v>1</v>
          </cell>
          <cell r="F180">
            <v>1</v>
          </cell>
          <cell r="G180">
            <v>0</v>
          </cell>
          <cell r="H180">
            <v>0</v>
          </cell>
          <cell r="I180">
            <v>2</v>
          </cell>
          <cell r="J180">
            <v>2</v>
          </cell>
          <cell r="K180">
            <v>0</v>
          </cell>
          <cell r="L180">
            <v>0</v>
          </cell>
          <cell r="M180">
            <v>2</v>
          </cell>
          <cell r="N180">
            <v>1</v>
          </cell>
          <cell r="O180">
            <v>6835</v>
          </cell>
          <cell r="P180">
            <v>37.5</v>
          </cell>
        </row>
        <row r="181">
          <cell r="A181">
            <v>2.001</v>
          </cell>
          <cell r="C181" t="str">
            <v>BIPOLAR DISORDERS                                                                 </v>
          </cell>
          <cell r="D181">
            <v>0</v>
          </cell>
          <cell r="E181">
            <v>1</v>
          </cell>
          <cell r="F181">
            <v>1</v>
          </cell>
          <cell r="G181">
            <v>0</v>
          </cell>
          <cell r="H181">
            <v>0</v>
          </cell>
          <cell r="I181">
            <v>2</v>
          </cell>
          <cell r="J181">
            <v>1</v>
          </cell>
          <cell r="K181">
            <v>1</v>
          </cell>
          <cell r="L181">
            <v>0</v>
          </cell>
          <cell r="M181">
            <v>2</v>
          </cell>
          <cell r="N181">
            <v>4.5</v>
          </cell>
          <cell r="O181">
            <v>21605.55</v>
          </cell>
          <cell r="P181">
            <v>45</v>
          </cell>
        </row>
        <row r="182">
          <cell r="A182">
            <v>2.001</v>
          </cell>
          <cell r="C182" t="str">
            <v>COAGULATION &amp; PLATELET DISORDERS                                                  </v>
          </cell>
          <cell r="D182">
            <v>0</v>
          </cell>
          <cell r="E182">
            <v>0</v>
          </cell>
          <cell r="F182">
            <v>0</v>
          </cell>
          <cell r="G182">
            <v>2</v>
          </cell>
          <cell r="H182">
            <v>0</v>
          </cell>
          <cell r="I182">
            <v>2</v>
          </cell>
          <cell r="J182">
            <v>2</v>
          </cell>
          <cell r="K182">
            <v>0</v>
          </cell>
          <cell r="L182">
            <v>0</v>
          </cell>
          <cell r="M182">
            <v>2</v>
          </cell>
          <cell r="N182">
            <v>3.5</v>
          </cell>
          <cell r="O182">
            <v>27610.62</v>
          </cell>
          <cell r="P182">
            <v>75.5</v>
          </cell>
        </row>
        <row r="183">
          <cell r="A183">
            <v>2.001</v>
          </cell>
          <cell r="C183" t="str">
            <v>THREATENED ABORTION                                                               </v>
          </cell>
          <cell r="D183">
            <v>0</v>
          </cell>
          <cell r="E183">
            <v>2</v>
          </cell>
          <cell r="F183">
            <v>0</v>
          </cell>
          <cell r="G183">
            <v>0</v>
          </cell>
          <cell r="H183">
            <v>0</v>
          </cell>
          <cell r="I183">
            <v>2</v>
          </cell>
          <cell r="J183">
            <v>0</v>
          </cell>
          <cell r="K183">
            <v>2</v>
          </cell>
          <cell r="L183">
            <v>0</v>
          </cell>
          <cell r="M183">
            <v>2</v>
          </cell>
          <cell r="N183">
            <v>1</v>
          </cell>
          <cell r="O183">
            <v>1461</v>
          </cell>
          <cell r="P183">
            <v>24</v>
          </cell>
        </row>
        <row r="184">
          <cell r="A184">
            <v>2.001</v>
          </cell>
          <cell r="C184" t="str">
            <v>OTHER O.R. PROC FOR OBSTETRIC DIAGNOSES EXCEPT DELIVERY DIAGNOSES                 </v>
          </cell>
          <cell r="D184">
            <v>0</v>
          </cell>
          <cell r="E184">
            <v>2</v>
          </cell>
          <cell r="F184">
            <v>0</v>
          </cell>
          <cell r="G184">
            <v>0</v>
          </cell>
          <cell r="H184">
            <v>0</v>
          </cell>
          <cell r="I184">
            <v>2</v>
          </cell>
          <cell r="J184">
            <v>0</v>
          </cell>
          <cell r="K184">
            <v>2</v>
          </cell>
          <cell r="L184">
            <v>0</v>
          </cell>
          <cell r="M184">
            <v>2</v>
          </cell>
          <cell r="N184">
            <v>3.5</v>
          </cell>
          <cell r="O184">
            <v>17698.1</v>
          </cell>
          <cell r="P184">
            <v>23</v>
          </cell>
        </row>
        <row r="185">
          <cell r="A185">
            <v>2.001</v>
          </cell>
          <cell r="C185" t="str">
            <v>VAGINAL DELIVERY W STERILIZATION &amp;/OR D&amp;C                                         </v>
          </cell>
          <cell r="D185">
            <v>0</v>
          </cell>
          <cell r="E185">
            <v>2</v>
          </cell>
          <cell r="F185">
            <v>0</v>
          </cell>
          <cell r="G185">
            <v>0</v>
          </cell>
          <cell r="H185">
            <v>0</v>
          </cell>
          <cell r="I185">
            <v>2</v>
          </cell>
          <cell r="J185">
            <v>0</v>
          </cell>
          <cell r="K185">
            <v>2</v>
          </cell>
          <cell r="L185">
            <v>0</v>
          </cell>
          <cell r="M185">
            <v>2</v>
          </cell>
          <cell r="N185">
            <v>1.5</v>
          </cell>
          <cell r="O185">
            <v>9944</v>
          </cell>
          <cell r="P185">
            <v>28.5</v>
          </cell>
        </row>
        <row r="186">
          <cell r="A186">
            <v>2.001</v>
          </cell>
          <cell r="C186" t="str">
            <v>MENSTRUAL &amp; OTHER FEMALE REPRODUCTIVE SYSTEM DISORDERS                            </v>
          </cell>
          <cell r="D186">
            <v>0</v>
          </cell>
          <cell r="E186">
            <v>2</v>
          </cell>
          <cell r="F186">
            <v>0</v>
          </cell>
          <cell r="G186">
            <v>0</v>
          </cell>
          <cell r="H186">
            <v>0</v>
          </cell>
          <cell r="I186">
            <v>2</v>
          </cell>
          <cell r="J186">
            <v>0</v>
          </cell>
          <cell r="K186">
            <v>2</v>
          </cell>
          <cell r="L186">
            <v>0</v>
          </cell>
          <cell r="M186">
            <v>2</v>
          </cell>
          <cell r="N186">
            <v>3</v>
          </cell>
          <cell r="O186">
            <v>12016.22</v>
          </cell>
          <cell r="P186">
            <v>37</v>
          </cell>
        </row>
        <row r="187">
          <cell r="A187">
            <v>2.001</v>
          </cell>
          <cell r="C187" t="str">
            <v>FEMALE REPRODUCTIVE SYSTEM INFECTIONS                                             </v>
          </cell>
          <cell r="D187">
            <v>0</v>
          </cell>
          <cell r="E187">
            <v>1</v>
          </cell>
          <cell r="F187">
            <v>0</v>
          </cell>
          <cell r="G187">
            <v>1</v>
          </cell>
          <cell r="H187">
            <v>0</v>
          </cell>
          <cell r="I187">
            <v>2</v>
          </cell>
          <cell r="J187">
            <v>0</v>
          </cell>
          <cell r="K187">
            <v>2</v>
          </cell>
          <cell r="L187">
            <v>0</v>
          </cell>
          <cell r="M187">
            <v>2</v>
          </cell>
          <cell r="N187">
            <v>9</v>
          </cell>
          <cell r="O187">
            <v>34086.35</v>
          </cell>
          <cell r="P187">
            <v>56</v>
          </cell>
        </row>
        <row r="188">
          <cell r="A188">
            <v>2.001</v>
          </cell>
          <cell r="C188" t="str">
            <v>MALIGNANCY, MALE REPRODUCTIVE SYSTEM                                              </v>
          </cell>
          <cell r="D188">
            <v>0</v>
          </cell>
          <cell r="E188">
            <v>0</v>
          </cell>
          <cell r="F188">
            <v>1</v>
          </cell>
          <cell r="G188">
            <v>1</v>
          </cell>
          <cell r="H188">
            <v>0</v>
          </cell>
          <cell r="I188">
            <v>2</v>
          </cell>
          <cell r="J188">
            <v>2</v>
          </cell>
          <cell r="K188">
            <v>0</v>
          </cell>
          <cell r="L188">
            <v>0</v>
          </cell>
          <cell r="M188">
            <v>2</v>
          </cell>
          <cell r="N188">
            <v>3</v>
          </cell>
          <cell r="O188">
            <v>11685</v>
          </cell>
          <cell r="P188">
            <v>72</v>
          </cell>
        </row>
        <row r="189">
          <cell r="A189">
            <v>2.001</v>
          </cell>
          <cell r="C189" t="str">
            <v>OTHER MALE REPRODUCTIVE SYSTEM &amp; RELATED PROCEDURES                               </v>
          </cell>
          <cell r="D189">
            <v>0</v>
          </cell>
          <cell r="E189">
            <v>0</v>
          </cell>
          <cell r="F189">
            <v>0</v>
          </cell>
          <cell r="G189">
            <v>2</v>
          </cell>
          <cell r="H189">
            <v>0</v>
          </cell>
          <cell r="I189">
            <v>2</v>
          </cell>
          <cell r="J189">
            <v>2</v>
          </cell>
          <cell r="K189">
            <v>0</v>
          </cell>
          <cell r="L189">
            <v>0</v>
          </cell>
          <cell r="M189">
            <v>2</v>
          </cell>
          <cell r="N189">
            <v>1</v>
          </cell>
          <cell r="O189">
            <v>13904</v>
          </cell>
          <cell r="P189">
            <v>80.5</v>
          </cell>
        </row>
        <row r="190">
          <cell r="A190">
            <v>2.001</v>
          </cell>
          <cell r="C190" t="str">
            <v>TESTES &amp; SCROTAL PROCEDURES                                                       </v>
          </cell>
          <cell r="D190">
            <v>0</v>
          </cell>
          <cell r="E190">
            <v>0</v>
          </cell>
          <cell r="F190">
            <v>1</v>
          </cell>
          <cell r="G190">
            <v>1</v>
          </cell>
          <cell r="H190">
            <v>0</v>
          </cell>
          <cell r="I190">
            <v>2</v>
          </cell>
          <cell r="J190">
            <v>2</v>
          </cell>
          <cell r="K190">
            <v>0</v>
          </cell>
          <cell r="L190">
            <v>0</v>
          </cell>
          <cell r="M190">
            <v>2</v>
          </cell>
          <cell r="N190">
            <v>10.5</v>
          </cell>
          <cell r="O190">
            <v>43575.98</v>
          </cell>
          <cell r="P190">
            <v>62</v>
          </cell>
        </row>
        <row r="191">
          <cell r="A191">
            <v>2.001</v>
          </cell>
          <cell r="C191" t="str">
            <v>OTHER KIDNEY, URINARY TRACT &amp; RELATED PROCEDURES                                  </v>
          </cell>
          <cell r="D191">
            <v>0</v>
          </cell>
          <cell r="E191">
            <v>0</v>
          </cell>
          <cell r="F191">
            <v>2</v>
          </cell>
          <cell r="G191">
            <v>0</v>
          </cell>
          <cell r="H191">
            <v>0</v>
          </cell>
          <cell r="I191">
            <v>2</v>
          </cell>
          <cell r="J191">
            <v>2</v>
          </cell>
          <cell r="K191">
            <v>0</v>
          </cell>
          <cell r="L191">
            <v>0</v>
          </cell>
          <cell r="M191">
            <v>2</v>
          </cell>
          <cell r="N191">
            <v>6.5</v>
          </cell>
          <cell r="O191">
            <v>48549.5</v>
          </cell>
          <cell r="P191">
            <v>57.5</v>
          </cell>
        </row>
        <row r="192">
          <cell r="A192">
            <v>2.001</v>
          </cell>
          <cell r="C192" t="str">
            <v>MAJOR BLADDER PROCEDURES                                                          </v>
          </cell>
          <cell r="D192">
            <v>0</v>
          </cell>
          <cell r="E192">
            <v>0</v>
          </cell>
          <cell r="F192">
            <v>0</v>
          </cell>
          <cell r="G192">
            <v>2</v>
          </cell>
          <cell r="H192">
            <v>0</v>
          </cell>
          <cell r="I192">
            <v>2</v>
          </cell>
          <cell r="J192">
            <v>1</v>
          </cell>
          <cell r="K192">
            <v>1</v>
          </cell>
          <cell r="L192">
            <v>0</v>
          </cell>
          <cell r="M192">
            <v>2</v>
          </cell>
          <cell r="N192">
            <v>5.5</v>
          </cell>
          <cell r="O192">
            <v>33797.5</v>
          </cell>
          <cell r="P192">
            <v>70.5</v>
          </cell>
        </row>
        <row r="193">
          <cell r="A193">
            <v>2.001</v>
          </cell>
          <cell r="C193" t="str">
            <v>OTHER PROCEDURES FOR ENDOCRINE, NUTRITIONAL &amp; METABOLIC DISORDERS                 </v>
          </cell>
          <cell r="D193">
            <v>0</v>
          </cell>
          <cell r="E193">
            <v>0</v>
          </cell>
          <cell r="F193">
            <v>2</v>
          </cell>
          <cell r="G193">
            <v>0</v>
          </cell>
          <cell r="H193">
            <v>0</v>
          </cell>
          <cell r="I193">
            <v>2</v>
          </cell>
          <cell r="J193">
            <v>1</v>
          </cell>
          <cell r="K193">
            <v>1</v>
          </cell>
          <cell r="L193">
            <v>0</v>
          </cell>
          <cell r="M193">
            <v>2</v>
          </cell>
          <cell r="N193">
            <v>2</v>
          </cell>
          <cell r="O193">
            <v>28491.9</v>
          </cell>
          <cell r="P193">
            <v>52</v>
          </cell>
        </row>
        <row r="194">
          <cell r="A194">
            <v>2.001</v>
          </cell>
          <cell r="C194" t="str">
            <v>MAJOR SKIN DISORDERS                                                              </v>
          </cell>
          <cell r="D194">
            <v>0</v>
          </cell>
          <cell r="E194">
            <v>0</v>
          </cell>
          <cell r="F194">
            <v>0</v>
          </cell>
          <cell r="G194">
            <v>2</v>
          </cell>
          <cell r="H194">
            <v>0</v>
          </cell>
          <cell r="I194">
            <v>2</v>
          </cell>
          <cell r="J194">
            <v>1</v>
          </cell>
          <cell r="K194">
            <v>1</v>
          </cell>
          <cell r="L194">
            <v>0</v>
          </cell>
          <cell r="M194">
            <v>2</v>
          </cell>
          <cell r="N194">
            <v>3.5</v>
          </cell>
          <cell r="O194">
            <v>16988.35</v>
          </cell>
          <cell r="P194">
            <v>77.5</v>
          </cell>
        </row>
        <row r="195">
          <cell r="A195">
            <v>2.001</v>
          </cell>
          <cell r="C195" t="str">
            <v>MALFUNCTION, REACTION, COMPLIC OF ORTHOPEDIC DEVICE OR PROCEDURE                  </v>
          </cell>
          <cell r="D195">
            <v>0</v>
          </cell>
          <cell r="E195">
            <v>0</v>
          </cell>
          <cell r="F195">
            <v>1</v>
          </cell>
          <cell r="G195">
            <v>1</v>
          </cell>
          <cell r="H195">
            <v>0</v>
          </cell>
          <cell r="I195">
            <v>2</v>
          </cell>
          <cell r="J195">
            <v>0</v>
          </cell>
          <cell r="K195">
            <v>2</v>
          </cell>
          <cell r="L195">
            <v>0</v>
          </cell>
          <cell r="M195">
            <v>2</v>
          </cell>
          <cell r="N195">
            <v>1.5</v>
          </cell>
          <cell r="O195">
            <v>14624.5</v>
          </cell>
          <cell r="P195">
            <v>72</v>
          </cell>
        </row>
        <row r="196">
          <cell r="A196">
            <v>2.001</v>
          </cell>
          <cell r="C196" t="str">
            <v>MUSCULOSKELETAL MALIGNANCY &amp; PATHOL FRACTURE D/T MUSCSKEL MALIG                   </v>
          </cell>
          <cell r="D196">
            <v>0</v>
          </cell>
          <cell r="E196">
            <v>0</v>
          </cell>
          <cell r="F196">
            <v>0</v>
          </cell>
          <cell r="G196">
            <v>2</v>
          </cell>
          <cell r="H196">
            <v>0</v>
          </cell>
          <cell r="I196">
            <v>2</v>
          </cell>
          <cell r="J196">
            <v>1</v>
          </cell>
          <cell r="K196">
            <v>1</v>
          </cell>
          <cell r="L196">
            <v>0</v>
          </cell>
          <cell r="M196">
            <v>2</v>
          </cell>
          <cell r="N196">
            <v>4.5</v>
          </cell>
          <cell r="O196">
            <v>17238.5</v>
          </cell>
          <cell r="P196">
            <v>70.5</v>
          </cell>
        </row>
        <row r="197">
          <cell r="A197">
            <v>2.001</v>
          </cell>
          <cell r="C197" t="str">
            <v>OTHER MUSCULOSKELETAL SYSTEM &amp; CONNECTIVE TISSUE PROCEDURES                       </v>
          </cell>
          <cell r="D197">
            <v>0</v>
          </cell>
          <cell r="E197">
            <v>0</v>
          </cell>
          <cell r="F197">
            <v>1</v>
          </cell>
          <cell r="G197">
            <v>1</v>
          </cell>
          <cell r="H197">
            <v>0</v>
          </cell>
          <cell r="I197">
            <v>2</v>
          </cell>
          <cell r="J197">
            <v>0</v>
          </cell>
          <cell r="K197">
            <v>2</v>
          </cell>
          <cell r="L197">
            <v>0</v>
          </cell>
          <cell r="M197">
            <v>2</v>
          </cell>
          <cell r="N197">
            <v>15</v>
          </cell>
          <cell r="O197">
            <v>70062.77</v>
          </cell>
          <cell r="P197">
            <v>69.5</v>
          </cell>
        </row>
        <row r="198">
          <cell r="A198">
            <v>2.001</v>
          </cell>
          <cell r="C198" t="str">
            <v>MAJOR PANCREAS, LIVER &amp; SHUNT PROCEDURES                                          </v>
          </cell>
          <cell r="D198">
            <v>0</v>
          </cell>
          <cell r="E198">
            <v>0</v>
          </cell>
          <cell r="F198">
            <v>1</v>
          </cell>
          <cell r="G198">
            <v>1</v>
          </cell>
          <cell r="H198">
            <v>0</v>
          </cell>
          <cell r="I198">
            <v>2</v>
          </cell>
          <cell r="J198">
            <v>0</v>
          </cell>
          <cell r="K198">
            <v>2</v>
          </cell>
          <cell r="L198">
            <v>0</v>
          </cell>
          <cell r="M198">
            <v>2</v>
          </cell>
          <cell r="N198">
            <v>6</v>
          </cell>
          <cell r="O198">
            <v>41263.4</v>
          </cell>
          <cell r="P198">
            <v>65</v>
          </cell>
        </row>
        <row r="199">
          <cell r="A199">
            <v>2.001</v>
          </cell>
          <cell r="C199" t="str">
            <v>MAJOR ESOPHAGEAL DISORDERS                                                        </v>
          </cell>
          <cell r="D199">
            <v>0</v>
          </cell>
          <cell r="E199">
            <v>0</v>
          </cell>
          <cell r="F199">
            <v>1</v>
          </cell>
          <cell r="G199">
            <v>1</v>
          </cell>
          <cell r="H199">
            <v>0</v>
          </cell>
          <cell r="I199">
            <v>2</v>
          </cell>
          <cell r="J199">
            <v>1</v>
          </cell>
          <cell r="K199">
            <v>1</v>
          </cell>
          <cell r="L199">
            <v>0</v>
          </cell>
          <cell r="M199">
            <v>2</v>
          </cell>
          <cell r="N199">
            <v>8.5</v>
          </cell>
          <cell r="O199">
            <v>26718.98</v>
          </cell>
          <cell r="P199">
            <v>57</v>
          </cell>
        </row>
        <row r="200">
          <cell r="A200">
            <v>2.001</v>
          </cell>
          <cell r="C200" t="str">
            <v>CARDIAC ARREST                                                                    </v>
          </cell>
          <cell r="D200">
            <v>0</v>
          </cell>
          <cell r="E200">
            <v>0</v>
          </cell>
          <cell r="F200">
            <v>2</v>
          </cell>
          <cell r="G200">
            <v>0</v>
          </cell>
          <cell r="H200">
            <v>0</v>
          </cell>
          <cell r="I200">
            <v>2</v>
          </cell>
          <cell r="J200">
            <v>1</v>
          </cell>
          <cell r="K200">
            <v>1</v>
          </cell>
          <cell r="L200">
            <v>0</v>
          </cell>
          <cell r="M200">
            <v>2</v>
          </cell>
          <cell r="N200">
            <v>2</v>
          </cell>
          <cell r="O200">
            <v>43063</v>
          </cell>
          <cell r="P200">
            <v>56.5</v>
          </cell>
        </row>
        <row r="201">
          <cell r="A201">
            <v>2.001</v>
          </cell>
          <cell r="C201" t="str">
            <v>ACUTE &amp; SUBACUTE ENDOCARDITIS                                                     </v>
          </cell>
          <cell r="D201">
            <v>0</v>
          </cell>
          <cell r="E201">
            <v>0</v>
          </cell>
          <cell r="F201">
            <v>0</v>
          </cell>
          <cell r="G201">
            <v>2</v>
          </cell>
          <cell r="H201">
            <v>0</v>
          </cell>
          <cell r="I201">
            <v>2</v>
          </cell>
          <cell r="J201">
            <v>0</v>
          </cell>
          <cell r="K201">
            <v>2</v>
          </cell>
          <cell r="L201">
            <v>0</v>
          </cell>
          <cell r="M201">
            <v>2</v>
          </cell>
          <cell r="N201">
            <v>4.5</v>
          </cell>
          <cell r="O201">
            <v>19619.64</v>
          </cell>
          <cell r="P201">
            <v>75.5</v>
          </cell>
        </row>
        <row r="202">
          <cell r="A202">
            <v>2</v>
          </cell>
          <cell r="C202" t="str">
            <v>CONCUSSION, CLOSED SKULL FX NOS,UNCOMPLICATED INTRACRANIAL INJURY, COMA &lt; 1 HR OR </v>
          </cell>
          <cell r="D202">
            <v>0</v>
          </cell>
          <cell r="E202">
            <v>0</v>
          </cell>
          <cell r="F202">
            <v>0</v>
          </cell>
          <cell r="G202">
            <v>2</v>
          </cell>
          <cell r="H202">
            <v>0</v>
          </cell>
          <cell r="I202">
            <v>2</v>
          </cell>
          <cell r="J202">
            <v>0</v>
          </cell>
          <cell r="K202">
            <v>2</v>
          </cell>
          <cell r="L202">
            <v>0</v>
          </cell>
          <cell r="M202">
            <v>2</v>
          </cell>
          <cell r="N202">
            <v>2</v>
          </cell>
          <cell r="O202">
            <v>15584.2</v>
          </cell>
          <cell r="P202">
            <v>82</v>
          </cell>
        </row>
        <row r="203">
          <cell r="A203">
            <v>1.001</v>
          </cell>
          <cell r="C203" t="str">
            <v>MULTIPLE SIGNIFICANT TRAUMA W/O O.R. PROCEDURE                                    </v>
          </cell>
          <cell r="D203">
            <v>0</v>
          </cell>
          <cell r="E203">
            <v>0</v>
          </cell>
          <cell r="F203">
            <v>0</v>
          </cell>
          <cell r="G203">
            <v>1</v>
          </cell>
          <cell r="H203">
            <v>0</v>
          </cell>
          <cell r="I203">
            <v>1</v>
          </cell>
          <cell r="J203">
            <v>1</v>
          </cell>
          <cell r="K203">
            <v>0</v>
          </cell>
          <cell r="L203">
            <v>0</v>
          </cell>
          <cell r="M203">
            <v>1</v>
          </cell>
          <cell r="N203">
            <v>5</v>
          </cell>
          <cell r="O203">
            <v>18299</v>
          </cell>
          <cell r="P203">
            <v>82</v>
          </cell>
        </row>
        <row r="204">
          <cell r="A204">
            <v>1.001</v>
          </cell>
          <cell r="C204" t="str">
            <v>HIV W MULTIPLE SIGNIFICANT HIV RELATED CONDITIONS                                 </v>
          </cell>
          <cell r="D204">
            <v>0</v>
          </cell>
          <cell r="E204">
            <v>0</v>
          </cell>
          <cell r="F204">
            <v>1</v>
          </cell>
          <cell r="G204">
            <v>0</v>
          </cell>
          <cell r="H204">
            <v>0</v>
          </cell>
          <cell r="I204">
            <v>1</v>
          </cell>
          <cell r="J204">
            <v>1</v>
          </cell>
          <cell r="K204">
            <v>0</v>
          </cell>
          <cell r="L204">
            <v>0</v>
          </cell>
          <cell r="M204">
            <v>1</v>
          </cell>
          <cell r="N204">
            <v>4</v>
          </cell>
          <cell r="O204">
            <v>9571.8</v>
          </cell>
          <cell r="P204">
            <v>59</v>
          </cell>
        </row>
        <row r="205">
          <cell r="A205">
            <v>1.001</v>
          </cell>
          <cell r="C205" t="str">
            <v>OTHER AFTERCARE &amp; CONVALESCENCE                                                   </v>
          </cell>
          <cell r="D205">
            <v>0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1</v>
          </cell>
          <cell r="J205">
            <v>0</v>
          </cell>
          <cell r="K205">
            <v>1</v>
          </cell>
          <cell r="L205">
            <v>0</v>
          </cell>
          <cell r="M205">
            <v>1</v>
          </cell>
          <cell r="N205">
            <v>5</v>
          </cell>
          <cell r="O205">
            <v>6843</v>
          </cell>
          <cell r="P205">
            <v>42</v>
          </cell>
        </row>
        <row r="206">
          <cell r="A206">
            <v>1.001</v>
          </cell>
          <cell r="C206" t="str">
            <v>PARTIAL THICKNESS BURNS W OR W/O SKIN GRAFT                                       </v>
          </cell>
          <cell r="D206">
            <v>1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1</v>
          </cell>
          <cell r="J206">
            <v>0</v>
          </cell>
          <cell r="K206">
            <v>1</v>
          </cell>
          <cell r="L206">
            <v>0</v>
          </cell>
          <cell r="M206">
            <v>1</v>
          </cell>
          <cell r="N206">
            <v>1</v>
          </cell>
          <cell r="O206">
            <v>1707</v>
          </cell>
          <cell r="P206">
            <v>1</v>
          </cell>
        </row>
        <row r="207">
          <cell r="A207">
            <v>1.001</v>
          </cell>
          <cell r="C207" t="str">
            <v>ALLERGIC REACTIONS                                                                </v>
          </cell>
          <cell r="D207">
            <v>0</v>
          </cell>
          <cell r="E207">
            <v>0</v>
          </cell>
          <cell r="F207">
            <v>0</v>
          </cell>
          <cell r="G207">
            <v>1</v>
          </cell>
          <cell r="H207">
            <v>0</v>
          </cell>
          <cell r="I207">
            <v>1</v>
          </cell>
          <cell r="J207">
            <v>1</v>
          </cell>
          <cell r="K207">
            <v>0</v>
          </cell>
          <cell r="L207">
            <v>0</v>
          </cell>
          <cell r="M207">
            <v>1</v>
          </cell>
          <cell r="N207">
            <v>1</v>
          </cell>
          <cell r="O207">
            <v>2408</v>
          </cell>
          <cell r="P207">
            <v>70</v>
          </cell>
        </row>
        <row r="208">
          <cell r="A208">
            <v>1.001</v>
          </cell>
          <cell r="C208" t="str">
            <v>OPIOID ABUSE &amp; DEPENDENCE                                                         </v>
          </cell>
          <cell r="D208">
            <v>0</v>
          </cell>
          <cell r="E208">
            <v>0</v>
          </cell>
          <cell r="F208">
            <v>1</v>
          </cell>
          <cell r="G208">
            <v>0</v>
          </cell>
          <cell r="H208">
            <v>0</v>
          </cell>
          <cell r="I208">
            <v>1</v>
          </cell>
          <cell r="J208">
            <v>1</v>
          </cell>
          <cell r="K208">
            <v>0</v>
          </cell>
          <cell r="L208">
            <v>0</v>
          </cell>
          <cell r="M208">
            <v>1</v>
          </cell>
          <cell r="N208">
            <v>4</v>
          </cell>
          <cell r="O208">
            <v>9081</v>
          </cell>
          <cell r="P208">
            <v>46</v>
          </cell>
        </row>
        <row r="209">
          <cell r="A209">
            <v>1.001</v>
          </cell>
          <cell r="C209" t="str">
            <v>SCHIZOPHRENIA                                                                     </v>
          </cell>
          <cell r="D209">
            <v>0</v>
          </cell>
          <cell r="E209">
            <v>0</v>
          </cell>
          <cell r="F209">
            <v>1</v>
          </cell>
          <cell r="G209">
            <v>0</v>
          </cell>
          <cell r="H209">
            <v>0</v>
          </cell>
          <cell r="I209">
            <v>1</v>
          </cell>
          <cell r="J209">
            <v>1</v>
          </cell>
          <cell r="K209">
            <v>0</v>
          </cell>
          <cell r="L209">
            <v>0</v>
          </cell>
          <cell r="M209">
            <v>1</v>
          </cell>
          <cell r="N209">
            <v>3</v>
          </cell>
          <cell r="O209">
            <v>20467</v>
          </cell>
          <cell r="P209">
            <v>60</v>
          </cell>
        </row>
        <row r="210">
          <cell r="A210">
            <v>1.001</v>
          </cell>
          <cell r="C210" t="str">
            <v>MENTAL ILLNESS DIAGNOSIS W O.R. PROCEDURE                                         </v>
          </cell>
          <cell r="D210">
            <v>0</v>
          </cell>
          <cell r="E210">
            <v>0</v>
          </cell>
          <cell r="F210">
            <v>0</v>
          </cell>
          <cell r="G210">
            <v>1</v>
          </cell>
          <cell r="H210">
            <v>0</v>
          </cell>
          <cell r="I210">
            <v>1</v>
          </cell>
          <cell r="J210">
            <v>1</v>
          </cell>
          <cell r="K210">
            <v>0</v>
          </cell>
          <cell r="L210">
            <v>0</v>
          </cell>
          <cell r="M210">
            <v>1</v>
          </cell>
          <cell r="N210">
            <v>27</v>
          </cell>
          <cell r="O210">
            <v>51421</v>
          </cell>
          <cell r="P210">
            <v>67</v>
          </cell>
        </row>
        <row r="211">
          <cell r="A211">
            <v>1.001</v>
          </cell>
          <cell r="C211" t="str">
            <v>ACUTE LEUKEMIA                                                                    </v>
          </cell>
          <cell r="D211">
            <v>0</v>
          </cell>
          <cell r="E211">
            <v>0</v>
          </cell>
          <cell r="F211">
            <v>0</v>
          </cell>
          <cell r="G211">
            <v>1</v>
          </cell>
          <cell r="H211">
            <v>0</v>
          </cell>
          <cell r="I211">
            <v>1</v>
          </cell>
          <cell r="J211">
            <v>1</v>
          </cell>
          <cell r="K211">
            <v>0</v>
          </cell>
          <cell r="L211">
            <v>0</v>
          </cell>
          <cell r="M211">
            <v>1</v>
          </cell>
          <cell r="N211">
            <v>1</v>
          </cell>
          <cell r="O211">
            <v>8738</v>
          </cell>
          <cell r="P211">
            <v>68</v>
          </cell>
        </row>
        <row r="212">
          <cell r="A212">
            <v>1.001</v>
          </cell>
          <cell r="C212" t="str">
            <v>OTHER O.R. PROCEDURES FOR LYMPHATIC/HEMATOPOIETIC/OTHER NEOPLASMS                 </v>
          </cell>
          <cell r="D212">
            <v>0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1</v>
          </cell>
          <cell r="J212">
            <v>1</v>
          </cell>
          <cell r="K212">
            <v>0</v>
          </cell>
          <cell r="L212">
            <v>0</v>
          </cell>
          <cell r="M212">
            <v>1</v>
          </cell>
          <cell r="N212">
            <v>3</v>
          </cell>
          <cell r="O212">
            <v>18219</v>
          </cell>
          <cell r="P212">
            <v>38</v>
          </cell>
        </row>
        <row r="213">
          <cell r="A213">
            <v>1.001</v>
          </cell>
          <cell r="C213" t="str">
            <v>SPLENECTOMY                                                                       </v>
          </cell>
          <cell r="D213">
            <v>0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1</v>
          </cell>
          <cell r="J213">
            <v>0</v>
          </cell>
          <cell r="K213">
            <v>1</v>
          </cell>
          <cell r="L213">
            <v>0</v>
          </cell>
          <cell r="M213">
            <v>1</v>
          </cell>
          <cell r="N213">
            <v>5</v>
          </cell>
          <cell r="O213">
            <v>32798.8</v>
          </cell>
          <cell r="P213">
            <v>29</v>
          </cell>
        </row>
        <row r="214">
          <cell r="A214">
            <v>1.001</v>
          </cell>
          <cell r="C214" t="str">
            <v>NEONATE BWT 2000-2499G W RESP DIST SYND/OTH MAJ RESP COND                         </v>
          </cell>
          <cell r="D214">
            <v>1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</v>
          </cell>
          <cell r="J214">
            <v>1</v>
          </cell>
          <cell r="K214">
            <v>0</v>
          </cell>
          <cell r="L214">
            <v>0</v>
          </cell>
          <cell r="M214">
            <v>1</v>
          </cell>
          <cell r="N214">
            <v>7</v>
          </cell>
          <cell r="O214">
            <v>7263</v>
          </cell>
          <cell r="P214">
            <v>0</v>
          </cell>
        </row>
        <row r="215">
          <cell r="A215">
            <v>1.001</v>
          </cell>
          <cell r="C215" t="str">
            <v>NEONATE BWT &lt;500G                                                                 </v>
          </cell>
          <cell r="D215">
            <v>1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</v>
          </cell>
          <cell r="J215">
            <v>1</v>
          </cell>
          <cell r="K215">
            <v>0</v>
          </cell>
          <cell r="L215">
            <v>0</v>
          </cell>
          <cell r="M215">
            <v>1</v>
          </cell>
          <cell r="N215">
            <v>1</v>
          </cell>
          <cell r="O215">
            <v>723.2</v>
          </cell>
          <cell r="P215">
            <v>0</v>
          </cell>
        </row>
        <row r="216">
          <cell r="A216">
            <v>1.001</v>
          </cell>
          <cell r="C216" t="str">
            <v>NEONATE, TRANSFERRED &lt;5 DAYS OLD, NOT BORN HERE                                   </v>
          </cell>
          <cell r="D216">
            <v>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1</v>
          </cell>
          <cell r="J216">
            <v>0</v>
          </cell>
          <cell r="K216">
            <v>1</v>
          </cell>
          <cell r="L216">
            <v>0</v>
          </cell>
          <cell r="M216">
            <v>1</v>
          </cell>
          <cell r="N216">
            <v>1</v>
          </cell>
          <cell r="O216">
            <v>3346</v>
          </cell>
          <cell r="P216">
            <v>0</v>
          </cell>
        </row>
        <row r="217">
          <cell r="A217">
            <v>1.001</v>
          </cell>
          <cell r="C217" t="str">
            <v>ABORTION W/O D&amp;C, ASPIRATION CURETTAGE OR HYSTEROTOMY                             </v>
          </cell>
          <cell r="D217">
            <v>0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1</v>
          </cell>
          <cell r="J217">
            <v>0</v>
          </cell>
          <cell r="K217">
            <v>1</v>
          </cell>
          <cell r="L217">
            <v>0</v>
          </cell>
          <cell r="M217">
            <v>1</v>
          </cell>
          <cell r="N217">
            <v>1</v>
          </cell>
          <cell r="O217">
            <v>1493</v>
          </cell>
          <cell r="P217">
            <v>26</v>
          </cell>
        </row>
        <row r="218">
          <cell r="A218">
            <v>1.001</v>
          </cell>
          <cell r="C218" t="str">
            <v>ECTOPIC PREGNANCY PROCEDURE                                                       </v>
          </cell>
          <cell r="D218">
            <v>0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1</v>
          </cell>
          <cell r="L218">
            <v>0</v>
          </cell>
          <cell r="M218">
            <v>1</v>
          </cell>
          <cell r="N218">
            <v>4</v>
          </cell>
          <cell r="O218">
            <v>21871</v>
          </cell>
          <cell r="P218">
            <v>26</v>
          </cell>
        </row>
        <row r="219">
          <cell r="A219">
            <v>1.001</v>
          </cell>
          <cell r="C219" t="str">
            <v>OTHER FEMALE REPRODUCTIVE SYSTEM &amp; RELATED PROCEDURES                             </v>
          </cell>
          <cell r="D219">
            <v>0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1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2</v>
          </cell>
          <cell r="O219">
            <v>15082</v>
          </cell>
          <cell r="P219">
            <v>35</v>
          </cell>
        </row>
        <row r="220">
          <cell r="A220">
            <v>1.001</v>
          </cell>
          <cell r="C220" t="str">
            <v>SKIN GRAFT FOR SKIN &amp; SUBCUTANEOUS TISSUE DIAGNOSES                               </v>
          </cell>
          <cell r="D220">
            <v>0</v>
          </cell>
          <cell r="E220">
            <v>0</v>
          </cell>
          <cell r="F220">
            <v>0</v>
          </cell>
          <cell r="G220">
            <v>1</v>
          </cell>
          <cell r="H220">
            <v>0</v>
          </cell>
          <cell r="I220">
            <v>1</v>
          </cell>
          <cell r="J220">
            <v>0</v>
          </cell>
          <cell r="K220">
            <v>1</v>
          </cell>
          <cell r="L220">
            <v>0</v>
          </cell>
          <cell r="M220">
            <v>1</v>
          </cell>
          <cell r="N220">
            <v>9</v>
          </cell>
          <cell r="O220">
            <v>40249</v>
          </cell>
          <cell r="P220">
            <v>67</v>
          </cell>
        </row>
        <row r="221">
          <cell r="A221">
            <v>1.001</v>
          </cell>
          <cell r="C221" t="str">
            <v>HIP &amp; FEMUR PROCEDURES FOR NON-TRAUMA EXCEPT JOINT REPLACEMENT                    </v>
          </cell>
          <cell r="D221">
            <v>0</v>
          </cell>
          <cell r="E221">
            <v>0</v>
          </cell>
          <cell r="F221">
            <v>1</v>
          </cell>
          <cell r="G221">
            <v>0</v>
          </cell>
          <cell r="H221">
            <v>0</v>
          </cell>
          <cell r="I221">
            <v>1</v>
          </cell>
          <cell r="J221">
            <v>1</v>
          </cell>
          <cell r="K221">
            <v>0</v>
          </cell>
          <cell r="L221">
            <v>0</v>
          </cell>
          <cell r="M221">
            <v>1</v>
          </cell>
          <cell r="N221">
            <v>2</v>
          </cell>
          <cell r="O221">
            <v>23188</v>
          </cell>
          <cell r="P221">
            <v>52</v>
          </cell>
        </row>
        <row r="222">
          <cell r="A222">
            <v>1.001</v>
          </cell>
          <cell r="C222" t="str">
            <v>CARDIOMYOPATHY                                                                    </v>
          </cell>
          <cell r="D222">
            <v>0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1</v>
          </cell>
          <cell r="J222">
            <v>0</v>
          </cell>
          <cell r="K222">
            <v>1</v>
          </cell>
          <cell r="L222">
            <v>0</v>
          </cell>
          <cell r="M222">
            <v>1</v>
          </cell>
          <cell r="N222">
            <v>2</v>
          </cell>
          <cell r="O222">
            <v>14299</v>
          </cell>
          <cell r="P222">
            <v>35</v>
          </cell>
        </row>
        <row r="223">
          <cell r="A223">
            <v>1.001</v>
          </cell>
          <cell r="C223" t="str">
            <v>OTHER EAR, NOSE, MOUTH &amp; THROAT PROCEDURES                                        </v>
          </cell>
          <cell r="D223">
            <v>0</v>
          </cell>
          <cell r="E223">
            <v>0</v>
          </cell>
          <cell r="F223">
            <v>1</v>
          </cell>
          <cell r="G223">
            <v>0</v>
          </cell>
          <cell r="H223">
            <v>0</v>
          </cell>
          <cell r="I223">
            <v>1</v>
          </cell>
          <cell r="J223">
            <v>1</v>
          </cell>
          <cell r="K223">
            <v>0</v>
          </cell>
          <cell r="L223">
            <v>0</v>
          </cell>
          <cell r="M223">
            <v>1</v>
          </cell>
          <cell r="N223">
            <v>28</v>
          </cell>
          <cell r="O223">
            <v>64312.2</v>
          </cell>
          <cell r="P223">
            <v>51</v>
          </cell>
        </row>
        <row r="224">
          <cell r="A224">
            <v>1.001</v>
          </cell>
          <cell r="C224" t="str">
            <v>HEAD TRAUMA W COMA &gt;1 HR OR HEMORRHAGE                                            </v>
          </cell>
          <cell r="D224">
            <v>0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0</v>
          </cell>
          <cell r="K224">
            <v>1</v>
          </cell>
          <cell r="L224">
            <v>0</v>
          </cell>
          <cell r="M224">
            <v>1</v>
          </cell>
          <cell r="N224">
            <v>1</v>
          </cell>
          <cell r="O224">
            <v>21529</v>
          </cell>
          <cell r="P224">
            <v>32</v>
          </cell>
        </row>
        <row r="225">
          <cell r="A225">
            <v>1.001</v>
          </cell>
          <cell r="C225" t="str">
            <v>SPINAL PROCEDURES                                                                 </v>
          </cell>
          <cell r="D225">
            <v>0</v>
          </cell>
          <cell r="E225">
            <v>0</v>
          </cell>
          <cell r="F225">
            <v>1</v>
          </cell>
          <cell r="G225">
            <v>0</v>
          </cell>
          <cell r="H225">
            <v>0</v>
          </cell>
          <cell r="I225">
            <v>1</v>
          </cell>
          <cell r="J225">
            <v>0</v>
          </cell>
          <cell r="K225">
            <v>1</v>
          </cell>
          <cell r="L225">
            <v>0</v>
          </cell>
          <cell r="M225">
            <v>1</v>
          </cell>
          <cell r="N225">
            <v>4</v>
          </cell>
          <cell r="O225">
            <v>17935</v>
          </cell>
          <cell r="P225">
            <v>51</v>
          </cell>
        </row>
        <row r="226">
          <cell r="A226">
            <v>1.001</v>
          </cell>
          <cell r="C226" t="str">
            <v>TRACHEOSTOMY W LONG TERM MECHANICAL VENTILATION W EXTENSIVE PROCEDURE             </v>
          </cell>
          <cell r="D226">
            <v>0</v>
          </cell>
          <cell r="E226">
            <v>0</v>
          </cell>
          <cell r="F226">
            <v>0</v>
          </cell>
          <cell r="G226">
            <v>1</v>
          </cell>
          <cell r="H226">
            <v>0</v>
          </cell>
          <cell r="I226">
            <v>1</v>
          </cell>
          <cell r="J226">
            <v>1</v>
          </cell>
          <cell r="K226">
            <v>0</v>
          </cell>
          <cell r="L226">
            <v>0</v>
          </cell>
          <cell r="M226">
            <v>1</v>
          </cell>
          <cell r="N226">
            <v>14</v>
          </cell>
          <cell r="O226">
            <v>72137.95</v>
          </cell>
          <cell r="P226">
            <v>87</v>
          </cell>
        </row>
        <row r="227">
          <cell r="I227">
            <v>3743</v>
          </cell>
        </row>
        <row r="228">
          <cell r="I228">
            <v>5705</v>
          </cell>
        </row>
      </sheetData>
      <sheetData sheetId="21">
        <row r="5">
          <cell r="A5">
            <v>807</v>
          </cell>
          <cell r="B5" t="str">
            <v>drg</v>
          </cell>
          <cell r="C5" t="str">
            <v>NEONATE BIRTHWT &gt;2499G, NORMAL NEWBORN OR NEONATE W OTHER PROBLEM                 </v>
          </cell>
          <cell r="D5">
            <v>807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807</v>
          </cell>
          <cell r="J5">
            <v>416</v>
          </cell>
          <cell r="K5">
            <v>391</v>
          </cell>
          <cell r="L5">
            <v>0</v>
          </cell>
          <cell r="M5">
            <v>807</v>
          </cell>
          <cell r="N5">
            <v>1.8</v>
          </cell>
          <cell r="O5">
            <v>3457.1</v>
          </cell>
          <cell r="P5">
            <v>0</v>
          </cell>
        </row>
        <row r="6">
          <cell r="A6">
            <v>601</v>
          </cell>
          <cell r="C6" t="str">
            <v>VAGINAL DELIVERY                                                                  </v>
          </cell>
          <cell r="D6">
            <v>22</v>
          </cell>
          <cell r="E6">
            <v>579</v>
          </cell>
          <cell r="F6">
            <v>0</v>
          </cell>
          <cell r="G6">
            <v>0</v>
          </cell>
          <cell r="H6">
            <v>0</v>
          </cell>
          <cell r="I6">
            <v>601</v>
          </cell>
          <cell r="J6">
            <v>0</v>
          </cell>
          <cell r="K6">
            <v>601</v>
          </cell>
          <cell r="L6">
            <v>0</v>
          </cell>
          <cell r="M6">
            <v>601</v>
          </cell>
          <cell r="N6">
            <v>1.8</v>
          </cell>
          <cell r="O6">
            <v>6115.27</v>
          </cell>
          <cell r="P6">
            <v>26.8</v>
          </cell>
        </row>
        <row r="7">
          <cell r="A7">
            <v>541</v>
          </cell>
          <cell r="C7" t="str">
            <v>KNEE JOINT REPLACEMENT                                                            </v>
          </cell>
          <cell r="D7">
            <v>0</v>
          </cell>
          <cell r="E7">
            <v>9</v>
          </cell>
          <cell r="F7">
            <v>184</v>
          </cell>
          <cell r="G7">
            <v>348</v>
          </cell>
          <cell r="H7">
            <v>0</v>
          </cell>
          <cell r="I7">
            <v>541</v>
          </cell>
          <cell r="J7">
            <v>202</v>
          </cell>
          <cell r="K7">
            <v>339</v>
          </cell>
          <cell r="L7">
            <v>0</v>
          </cell>
          <cell r="M7">
            <v>541</v>
          </cell>
          <cell r="N7">
            <v>3.1</v>
          </cell>
          <cell r="O7">
            <v>31090.19</v>
          </cell>
          <cell r="P7">
            <v>67.6</v>
          </cell>
        </row>
        <row r="8">
          <cell r="A8">
            <v>374</v>
          </cell>
          <cell r="C8" t="str">
            <v>HEART FAILURE                                                                     </v>
          </cell>
          <cell r="D8">
            <v>0</v>
          </cell>
          <cell r="E8">
            <v>9</v>
          </cell>
          <cell r="F8">
            <v>57</v>
          </cell>
          <cell r="G8">
            <v>308</v>
          </cell>
          <cell r="H8">
            <v>0</v>
          </cell>
          <cell r="I8">
            <v>374</v>
          </cell>
          <cell r="J8">
            <v>183</v>
          </cell>
          <cell r="K8">
            <v>191</v>
          </cell>
          <cell r="L8">
            <v>0</v>
          </cell>
          <cell r="M8">
            <v>374</v>
          </cell>
          <cell r="N8">
            <v>4.4</v>
          </cell>
          <cell r="O8">
            <v>25243.75</v>
          </cell>
          <cell r="P8">
            <v>75.2</v>
          </cell>
        </row>
        <row r="9">
          <cell r="A9">
            <v>345</v>
          </cell>
          <cell r="C9" t="str">
            <v>SEPTICEMIA &amp; DISSEMINATED INFECTIONS                                              </v>
          </cell>
          <cell r="D9">
            <v>0</v>
          </cell>
          <cell r="E9">
            <v>5</v>
          </cell>
          <cell r="F9">
            <v>77</v>
          </cell>
          <cell r="G9">
            <v>263</v>
          </cell>
          <cell r="H9">
            <v>0</v>
          </cell>
          <cell r="I9">
            <v>345</v>
          </cell>
          <cell r="J9">
            <v>174</v>
          </cell>
          <cell r="K9">
            <v>171</v>
          </cell>
          <cell r="L9">
            <v>0</v>
          </cell>
          <cell r="M9">
            <v>345</v>
          </cell>
          <cell r="N9">
            <v>5.8</v>
          </cell>
          <cell r="O9">
            <v>38437.6</v>
          </cell>
          <cell r="P9">
            <v>71.9</v>
          </cell>
        </row>
        <row r="10">
          <cell r="A10">
            <v>311</v>
          </cell>
          <cell r="C10" t="str">
            <v>OTHER PNEUMONIA                                                                   </v>
          </cell>
          <cell r="D10">
            <v>24</v>
          </cell>
          <cell r="E10">
            <v>16</v>
          </cell>
          <cell r="F10">
            <v>61</v>
          </cell>
          <cell r="G10">
            <v>210</v>
          </cell>
          <cell r="H10">
            <v>0</v>
          </cell>
          <cell r="I10">
            <v>311</v>
          </cell>
          <cell r="J10">
            <v>150</v>
          </cell>
          <cell r="K10">
            <v>161</v>
          </cell>
          <cell r="L10">
            <v>0</v>
          </cell>
          <cell r="M10">
            <v>311</v>
          </cell>
          <cell r="N10">
            <v>4.4</v>
          </cell>
          <cell r="O10">
            <v>23797.17</v>
          </cell>
          <cell r="P10">
            <v>66.6</v>
          </cell>
        </row>
        <row r="11">
          <cell r="A11">
            <v>268</v>
          </cell>
          <cell r="C11" t="str">
            <v>CESAREAN DELIVERY                                                                 </v>
          </cell>
          <cell r="D11">
            <v>5</v>
          </cell>
          <cell r="E11">
            <v>262</v>
          </cell>
          <cell r="F11">
            <v>1</v>
          </cell>
          <cell r="G11">
            <v>0</v>
          </cell>
          <cell r="H11">
            <v>0</v>
          </cell>
          <cell r="I11">
            <v>268</v>
          </cell>
          <cell r="J11">
            <v>0</v>
          </cell>
          <cell r="K11">
            <v>268</v>
          </cell>
          <cell r="L11">
            <v>0</v>
          </cell>
          <cell r="M11">
            <v>268</v>
          </cell>
          <cell r="N11">
            <v>2.5</v>
          </cell>
          <cell r="O11">
            <v>14144.54</v>
          </cell>
          <cell r="P11">
            <v>28.1</v>
          </cell>
        </row>
        <row r="12">
          <cell r="A12">
            <v>266</v>
          </cell>
          <cell r="C12" t="str">
            <v>CARDIAC ARRHYTHMIA &amp; CONDUCTION DISORDERS                                         </v>
          </cell>
          <cell r="D12">
            <v>0</v>
          </cell>
          <cell r="E12">
            <v>6</v>
          </cell>
          <cell r="F12">
            <v>71</v>
          </cell>
          <cell r="G12">
            <v>189</v>
          </cell>
          <cell r="H12">
            <v>0</v>
          </cell>
          <cell r="I12">
            <v>266</v>
          </cell>
          <cell r="J12">
            <v>134</v>
          </cell>
          <cell r="K12">
            <v>132</v>
          </cell>
          <cell r="L12">
            <v>0</v>
          </cell>
          <cell r="M12">
            <v>266</v>
          </cell>
          <cell r="N12">
            <v>2.9</v>
          </cell>
          <cell r="O12">
            <v>18074.51</v>
          </cell>
          <cell r="P12">
            <v>70.9</v>
          </cell>
        </row>
        <row r="13">
          <cell r="A13">
            <v>256</v>
          </cell>
          <cell r="C13" t="str">
            <v>HIP JOINT REPLACEMENT                                                             </v>
          </cell>
          <cell r="D13">
            <v>0</v>
          </cell>
          <cell r="E13">
            <v>8</v>
          </cell>
          <cell r="F13">
            <v>78</v>
          </cell>
          <cell r="G13">
            <v>170</v>
          </cell>
          <cell r="H13">
            <v>0</v>
          </cell>
          <cell r="I13">
            <v>256</v>
          </cell>
          <cell r="J13">
            <v>118</v>
          </cell>
          <cell r="K13">
            <v>138</v>
          </cell>
          <cell r="L13">
            <v>0</v>
          </cell>
          <cell r="M13">
            <v>256</v>
          </cell>
          <cell r="N13">
            <v>4.3</v>
          </cell>
          <cell r="O13">
            <v>36192.27</v>
          </cell>
          <cell r="P13">
            <v>68.9</v>
          </cell>
        </row>
        <row r="14">
          <cell r="A14">
            <v>214</v>
          </cell>
          <cell r="C14" t="str">
            <v>DORSAL &amp; LUMBAR FUSION PROC EXCEPT FOR CURVATURE OF BACK                          </v>
          </cell>
          <cell r="D14">
            <v>0</v>
          </cell>
          <cell r="E14">
            <v>25</v>
          </cell>
          <cell r="F14">
            <v>89</v>
          </cell>
          <cell r="G14">
            <v>100</v>
          </cell>
          <cell r="H14">
            <v>0</v>
          </cell>
          <cell r="I14">
            <v>214</v>
          </cell>
          <cell r="J14">
            <v>82</v>
          </cell>
          <cell r="K14">
            <v>132</v>
          </cell>
          <cell r="L14">
            <v>0</v>
          </cell>
          <cell r="M14">
            <v>214</v>
          </cell>
          <cell r="N14">
            <v>1.6</v>
          </cell>
          <cell r="O14">
            <v>41301.21</v>
          </cell>
          <cell r="P14">
            <v>62.3</v>
          </cell>
        </row>
        <row r="15">
          <cell r="A15">
            <v>165</v>
          </cell>
          <cell r="C15" t="str">
            <v>CHRONIC OBSTRUCTIVE PULMONARY DISEASE                                             </v>
          </cell>
          <cell r="D15">
            <v>0</v>
          </cell>
          <cell r="E15">
            <v>8</v>
          </cell>
          <cell r="F15">
            <v>48</v>
          </cell>
          <cell r="G15">
            <v>109</v>
          </cell>
          <cell r="H15">
            <v>0</v>
          </cell>
          <cell r="I15">
            <v>165</v>
          </cell>
          <cell r="J15">
            <v>81</v>
          </cell>
          <cell r="K15">
            <v>84</v>
          </cell>
          <cell r="L15">
            <v>0</v>
          </cell>
          <cell r="M15">
            <v>165</v>
          </cell>
          <cell r="N15">
            <v>3.9</v>
          </cell>
          <cell r="O15">
            <v>21740.01</v>
          </cell>
          <cell r="P15">
            <v>68</v>
          </cell>
        </row>
        <row r="16">
          <cell r="A16">
            <v>157</v>
          </cell>
          <cell r="C16" t="str">
            <v>RENAL FAILURE                                                                     </v>
          </cell>
          <cell r="D16">
            <v>0</v>
          </cell>
          <cell r="E16">
            <v>16</v>
          </cell>
          <cell r="F16">
            <v>33</v>
          </cell>
          <cell r="G16">
            <v>108</v>
          </cell>
          <cell r="H16">
            <v>0</v>
          </cell>
          <cell r="I16">
            <v>157</v>
          </cell>
          <cell r="J16">
            <v>69</v>
          </cell>
          <cell r="K16">
            <v>88</v>
          </cell>
          <cell r="L16">
            <v>0</v>
          </cell>
          <cell r="M16">
            <v>157</v>
          </cell>
          <cell r="N16">
            <v>6.1</v>
          </cell>
          <cell r="O16">
            <v>33835.27</v>
          </cell>
          <cell r="P16">
            <v>70.4</v>
          </cell>
        </row>
        <row r="17">
          <cell r="A17">
            <v>145</v>
          </cell>
          <cell r="C17" t="str">
            <v>PULMONARY EDEMA &amp; RESPIRATORY FAILURE                                             </v>
          </cell>
          <cell r="D17">
            <v>0</v>
          </cell>
          <cell r="E17">
            <v>13</v>
          </cell>
          <cell r="F17">
            <v>42</v>
          </cell>
          <cell r="G17">
            <v>90</v>
          </cell>
          <cell r="H17">
            <v>0</v>
          </cell>
          <cell r="I17">
            <v>145</v>
          </cell>
          <cell r="J17">
            <v>60</v>
          </cell>
          <cell r="K17">
            <v>85</v>
          </cell>
          <cell r="L17">
            <v>0</v>
          </cell>
          <cell r="M17">
            <v>145</v>
          </cell>
          <cell r="N17">
            <v>5.3</v>
          </cell>
          <cell r="O17">
            <v>37257.18</v>
          </cell>
          <cell r="P17">
            <v>67</v>
          </cell>
        </row>
        <row r="18">
          <cell r="A18">
            <v>141</v>
          </cell>
          <cell r="C18" t="str">
            <v>INTESTINAL OBSTRUCTION                                                            </v>
          </cell>
          <cell r="D18">
            <v>1</v>
          </cell>
          <cell r="E18">
            <v>10</v>
          </cell>
          <cell r="F18">
            <v>55</v>
          </cell>
          <cell r="G18">
            <v>75</v>
          </cell>
          <cell r="H18">
            <v>0</v>
          </cell>
          <cell r="I18">
            <v>141</v>
          </cell>
          <cell r="J18">
            <v>49</v>
          </cell>
          <cell r="K18">
            <v>92</v>
          </cell>
          <cell r="L18">
            <v>0</v>
          </cell>
          <cell r="M18">
            <v>141</v>
          </cell>
          <cell r="N18">
            <v>3.8</v>
          </cell>
          <cell r="O18">
            <v>24281</v>
          </cell>
          <cell r="P18">
            <v>64.6</v>
          </cell>
        </row>
        <row r="19">
          <cell r="A19">
            <v>133</v>
          </cell>
          <cell r="C19" t="str">
            <v>MAJOR SMALL &amp; LARGE BOWEL PROCEDURES                                              </v>
          </cell>
          <cell r="D19">
            <v>0</v>
          </cell>
          <cell r="E19">
            <v>12</v>
          </cell>
          <cell r="F19">
            <v>40</v>
          </cell>
          <cell r="G19">
            <v>81</v>
          </cell>
          <cell r="H19">
            <v>0</v>
          </cell>
          <cell r="I19">
            <v>133</v>
          </cell>
          <cell r="J19">
            <v>61</v>
          </cell>
          <cell r="K19">
            <v>72</v>
          </cell>
          <cell r="L19">
            <v>0</v>
          </cell>
          <cell r="M19">
            <v>133</v>
          </cell>
          <cell r="N19">
            <v>8.4</v>
          </cell>
          <cell r="O19">
            <v>70185.19</v>
          </cell>
          <cell r="P19">
            <v>65.6</v>
          </cell>
        </row>
        <row r="20">
          <cell r="A20">
            <v>131</v>
          </cell>
          <cell r="C20" t="str">
            <v>CELLULITIS &amp; OTHER BACTERIAL SKIN INFECTIONS                                      </v>
          </cell>
          <cell r="D20">
            <v>2</v>
          </cell>
          <cell r="E20">
            <v>27</v>
          </cell>
          <cell r="F20">
            <v>50</v>
          </cell>
          <cell r="G20">
            <v>52</v>
          </cell>
          <cell r="H20">
            <v>0</v>
          </cell>
          <cell r="I20">
            <v>131</v>
          </cell>
          <cell r="J20">
            <v>65</v>
          </cell>
          <cell r="K20">
            <v>66</v>
          </cell>
          <cell r="L20">
            <v>0</v>
          </cell>
          <cell r="M20">
            <v>131</v>
          </cell>
          <cell r="N20">
            <v>3.5</v>
          </cell>
          <cell r="O20">
            <v>15486.23</v>
          </cell>
          <cell r="P20">
            <v>58.1</v>
          </cell>
        </row>
        <row r="21">
          <cell r="A21">
            <v>130</v>
          </cell>
          <cell r="C21" t="str">
            <v>CVA &amp; PRECEREBRAL OCCLUSION  W INFARCT                                            </v>
          </cell>
          <cell r="D21">
            <v>0</v>
          </cell>
          <cell r="E21">
            <v>2</v>
          </cell>
          <cell r="F21">
            <v>43</v>
          </cell>
          <cell r="G21">
            <v>85</v>
          </cell>
          <cell r="H21">
            <v>0</v>
          </cell>
          <cell r="I21">
            <v>130</v>
          </cell>
          <cell r="J21">
            <v>61</v>
          </cell>
          <cell r="K21">
            <v>69</v>
          </cell>
          <cell r="L21">
            <v>0</v>
          </cell>
          <cell r="M21">
            <v>130</v>
          </cell>
          <cell r="N21">
            <v>4.2</v>
          </cell>
          <cell r="O21">
            <v>27364.58</v>
          </cell>
          <cell r="P21">
            <v>69.7</v>
          </cell>
        </row>
        <row r="22">
          <cell r="A22">
            <v>129</v>
          </cell>
          <cell r="C22" t="str">
            <v>NONTRAUMATIC STUPOR &amp; COMA                                                        </v>
          </cell>
          <cell r="D22">
            <v>0</v>
          </cell>
          <cell r="E22">
            <v>7</v>
          </cell>
          <cell r="F22">
            <v>28</v>
          </cell>
          <cell r="G22">
            <v>94</v>
          </cell>
          <cell r="H22">
            <v>0</v>
          </cell>
          <cell r="I22">
            <v>129</v>
          </cell>
          <cell r="J22">
            <v>54</v>
          </cell>
          <cell r="K22">
            <v>75</v>
          </cell>
          <cell r="L22">
            <v>0</v>
          </cell>
          <cell r="M22">
            <v>129</v>
          </cell>
          <cell r="N22">
            <v>5.4</v>
          </cell>
          <cell r="O22">
            <v>28100.46</v>
          </cell>
          <cell r="P22">
            <v>71.2</v>
          </cell>
        </row>
        <row r="23">
          <cell r="A23">
            <v>120</v>
          </cell>
          <cell r="C23" t="str">
            <v>KIDNEY &amp; URINARY TRACT INFECTIONS                                                 </v>
          </cell>
          <cell r="D23">
            <v>5</v>
          </cell>
          <cell r="E23">
            <v>9</v>
          </cell>
          <cell r="F23">
            <v>14</v>
          </cell>
          <cell r="G23">
            <v>92</v>
          </cell>
          <cell r="H23">
            <v>0</v>
          </cell>
          <cell r="I23">
            <v>120</v>
          </cell>
          <cell r="J23">
            <v>42</v>
          </cell>
          <cell r="K23">
            <v>78</v>
          </cell>
          <cell r="L23">
            <v>0</v>
          </cell>
          <cell r="M23">
            <v>120</v>
          </cell>
          <cell r="N23">
            <v>3.8</v>
          </cell>
          <cell r="O23">
            <v>19476.54</v>
          </cell>
          <cell r="P23">
            <v>70.6</v>
          </cell>
        </row>
        <row r="24">
          <cell r="A24">
            <v>113</v>
          </cell>
          <cell r="C24" t="str">
            <v>PERCUTANEOUS CARDIOVASCULAR PROCEDURES W/O AMI                                    </v>
          </cell>
          <cell r="D24">
            <v>0</v>
          </cell>
          <cell r="E24">
            <v>5</v>
          </cell>
          <cell r="F24">
            <v>36</v>
          </cell>
          <cell r="G24">
            <v>72</v>
          </cell>
          <cell r="H24">
            <v>0</v>
          </cell>
          <cell r="I24">
            <v>113</v>
          </cell>
          <cell r="J24">
            <v>68</v>
          </cell>
          <cell r="K24">
            <v>45</v>
          </cell>
          <cell r="L24">
            <v>0</v>
          </cell>
          <cell r="M24">
            <v>113</v>
          </cell>
          <cell r="N24">
            <v>2.3</v>
          </cell>
          <cell r="O24">
            <v>45933.72</v>
          </cell>
          <cell r="P24">
            <v>67.4</v>
          </cell>
        </row>
        <row r="25">
          <cell r="A25">
            <v>105</v>
          </cell>
          <cell r="C25" t="str">
            <v>OTHER ANEMIA &amp; DISORDERS OF BLOOD &amp; BLOOD-FORMING ORGANS                          </v>
          </cell>
          <cell r="D25">
            <v>0</v>
          </cell>
          <cell r="E25">
            <v>11</v>
          </cell>
          <cell r="F25">
            <v>23</v>
          </cell>
          <cell r="G25">
            <v>71</v>
          </cell>
          <cell r="H25">
            <v>0</v>
          </cell>
          <cell r="I25">
            <v>105</v>
          </cell>
          <cell r="J25">
            <v>55</v>
          </cell>
          <cell r="K25">
            <v>50</v>
          </cell>
          <cell r="L25">
            <v>0</v>
          </cell>
          <cell r="M25">
            <v>105</v>
          </cell>
          <cell r="N25">
            <v>3.5</v>
          </cell>
          <cell r="O25">
            <v>24883.19</v>
          </cell>
          <cell r="P25">
            <v>70.1</v>
          </cell>
        </row>
        <row r="26">
          <cell r="A26">
            <v>103</v>
          </cell>
          <cell r="C26" t="str">
            <v>LAPAROSCOPIC CHOLECYSTECTOMY                                                      </v>
          </cell>
          <cell r="D26">
            <v>2</v>
          </cell>
          <cell r="E26">
            <v>25</v>
          </cell>
          <cell r="F26">
            <v>34</v>
          </cell>
          <cell r="G26">
            <v>42</v>
          </cell>
          <cell r="H26">
            <v>0</v>
          </cell>
          <cell r="I26">
            <v>103</v>
          </cell>
          <cell r="J26">
            <v>42</v>
          </cell>
          <cell r="K26">
            <v>61</v>
          </cell>
          <cell r="L26">
            <v>0</v>
          </cell>
          <cell r="M26">
            <v>103</v>
          </cell>
          <cell r="N26">
            <v>3.8</v>
          </cell>
          <cell r="O26">
            <v>32681.68</v>
          </cell>
          <cell r="P26">
            <v>56.7</v>
          </cell>
        </row>
        <row r="27">
          <cell r="A27">
            <v>102</v>
          </cell>
          <cell r="C27" t="str">
            <v>ACUTE MYOCARDIAL INFARCTION                                                       </v>
          </cell>
          <cell r="D27">
            <v>0</v>
          </cell>
          <cell r="E27">
            <v>4</v>
          </cell>
          <cell r="F27">
            <v>22</v>
          </cell>
          <cell r="G27">
            <v>76</v>
          </cell>
          <cell r="H27">
            <v>0</v>
          </cell>
          <cell r="I27">
            <v>102</v>
          </cell>
          <cell r="J27">
            <v>68</v>
          </cell>
          <cell r="K27">
            <v>34</v>
          </cell>
          <cell r="L27">
            <v>0</v>
          </cell>
          <cell r="M27">
            <v>102</v>
          </cell>
          <cell r="N27">
            <v>4.5</v>
          </cell>
          <cell r="O27">
            <v>30932.39</v>
          </cell>
          <cell r="P27">
            <v>73.4</v>
          </cell>
        </row>
        <row r="28">
          <cell r="A28">
            <v>99</v>
          </cell>
          <cell r="C28" t="str">
            <v>PERCUTANEOUS CARDIOVASCULAR PROCEDURES W AMI                                      </v>
          </cell>
          <cell r="D28">
            <v>0</v>
          </cell>
          <cell r="E28">
            <v>4</v>
          </cell>
          <cell r="F28">
            <v>53</v>
          </cell>
          <cell r="G28">
            <v>42</v>
          </cell>
          <cell r="H28">
            <v>0</v>
          </cell>
          <cell r="I28">
            <v>99</v>
          </cell>
          <cell r="J28">
            <v>62</v>
          </cell>
          <cell r="K28">
            <v>37</v>
          </cell>
          <cell r="L28">
            <v>0</v>
          </cell>
          <cell r="M28">
            <v>99</v>
          </cell>
          <cell r="N28">
            <v>3.5</v>
          </cell>
          <cell r="O28">
            <v>58680.62</v>
          </cell>
          <cell r="P28">
            <v>62.4</v>
          </cell>
        </row>
        <row r="29">
          <cell r="A29">
            <v>98</v>
          </cell>
          <cell r="C29" t="str">
            <v>MAJOR RESPIRATORY INFECTIONS &amp; INFLAMMATIONS                                      </v>
          </cell>
          <cell r="D29">
            <v>1</v>
          </cell>
          <cell r="E29">
            <v>4</v>
          </cell>
          <cell r="F29">
            <v>16</v>
          </cell>
          <cell r="G29">
            <v>77</v>
          </cell>
          <cell r="H29">
            <v>0</v>
          </cell>
          <cell r="I29">
            <v>98</v>
          </cell>
          <cell r="J29">
            <v>62</v>
          </cell>
          <cell r="K29">
            <v>36</v>
          </cell>
          <cell r="L29">
            <v>0</v>
          </cell>
          <cell r="M29">
            <v>98</v>
          </cell>
          <cell r="N29">
            <v>6.9</v>
          </cell>
          <cell r="O29">
            <v>41076.34</v>
          </cell>
          <cell r="P29">
            <v>73.6</v>
          </cell>
        </row>
        <row r="30">
          <cell r="A30">
            <v>96</v>
          </cell>
          <cell r="C30" t="str">
            <v>OTHER VASCULAR PROCEDURES                                                         </v>
          </cell>
          <cell r="D30">
            <v>0</v>
          </cell>
          <cell r="E30">
            <v>6</v>
          </cell>
          <cell r="F30">
            <v>24</v>
          </cell>
          <cell r="G30">
            <v>66</v>
          </cell>
          <cell r="H30">
            <v>0</v>
          </cell>
          <cell r="I30">
            <v>96</v>
          </cell>
          <cell r="J30">
            <v>69</v>
          </cell>
          <cell r="K30">
            <v>27</v>
          </cell>
          <cell r="L30">
            <v>0</v>
          </cell>
          <cell r="M30">
            <v>96</v>
          </cell>
          <cell r="N30">
            <v>5.3</v>
          </cell>
          <cell r="O30">
            <v>72543.49</v>
          </cell>
          <cell r="P30">
            <v>68.3</v>
          </cell>
        </row>
        <row r="31">
          <cell r="A31">
            <v>95</v>
          </cell>
          <cell r="C31" t="str">
            <v>SYNCOPE &amp; COLLAPSE                                                                </v>
          </cell>
          <cell r="D31">
            <v>0</v>
          </cell>
          <cell r="E31">
            <v>5</v>
          </cell>
          <cell r="F31">
            <v>19</v>
          </cell>
          <cell r="G31">
            <v>71</v>
          </cell>
          <cell r="H31">
            <v>0</v>
          </cell>
          <cell r="I31">
            <v>95</v>
          </cell>
          <cell r="J31">
            <v>39</v>
          </cell>
          <cell r="K31">
            <v>56</v>
          </cell>
          <cell r="L31">
            <v>0</v>
          </cell>
          <cell r="M31">
            <v>95</v>
          </cell>
          <cell r="N31">
            <v>2.6</v>
          </cell>
          <cell r="O31">
            <v>17647.94</v>
          </cell>
          <cell r="P31">
            <v>71.6</v>
          </cell>
        </row>
        <row r="32">
          <cell r="A32">
            <v>91.001</v>
          </cell>
          <cell r="C32" t="str">
            <v>KNEE &amp; LOWER LEG PROCEDURES EXCEPT FOOT                                           </v>
          </cell>
          <cell r="D32">
            <v>5</v>
          </cell>
          <cell r="E32">
            <v>14</v>
          </cell>
          <cell r="F32">
            <v>30</v>
          </cell>
          <cell r="G32">
            <v>42</v>
          </cell>
          <cell r="H32">
            <v>0</v>
          </cell>
          <cell r="I32">
            <v>91</v>
          </cell>
          <cell r="J32">
            <v>40</v>
          </cell>
          <cell r="K32">
            <v>51</v>
          </cell>
          <cell r="L32">
            <v>0</v>
          </cell>
          <cell r="M32">
            <v>91</v>
          </cell>
          <cell r="N32">
            <v>3.7</v>
          </cell>
          <cell r="O32">
            <v>29159.64</v>
          </cell>
          <cell r="P32">
            <v>58.6</v>
          </cell>
        </row>
        <row r="33">
          <cell r="A33">
            <v>91</v>
          </cell>
          <cell r="C33" t="str">
            <v>DIVERTICULITIS &amp; DIVERTICULOSIS                                                   </v>
          </cell>
          <cell r="D33">
            <v>1</v>
          </cell>
          <cell r="E33">
            <v>12</v>
          </cell>
          <cell r="F33">
            <v>29</v>
          </cell>
          <cell r="G33">
            <v>49</v>
          </cell>
          <cell r="H33">
            <v>0</v>
          </cell>
          <cell r="I33">
            <v>91</v>
          </cell>
          <cell r="J33">
            <v>42</v>
          </cell>
          <cell r="K33">
            <v>49</v>
          </cell>
          <cell r="L33">
            <v>0</v>
          </cell>
          <cell r="M33">
            <v>91</v>
          </cell>
          <cell r="N33">
            <v>3.5</v>
          </cell>
          <cell r="O33">
            <v>22030.7</v>
          </cell>
          <cell r="P33">
            <v>65.1</v>
          </cell>
        </row>
        <row r="34">
          <cell r="A34">
            <v>88.001</v>
          </cell>
          <cell r="C34" t="str">
            <v>DIABETES                                                                          </v>
          </cell>
          <cell r="D34">
            <v>1</v>
          </cell>
          <cell r="E34">
            <v>39</v>
          </cell>
          <cell r="F34">
            <v>21</v>
          </cell>
          <cell r="G34">
            <v>27</v>
          </cell>
          <cell r="H34">
            <v>0</v>
          </cell>
          <cell r="I34">
            <v>88</v>
          </cell>
          <cell r="J34">
            <v>44</v>
          </cell>
          <cell r="K34">
            <v>44</v>
          </cell>
          <cell r="L34">
            <v>0</v>
          </cell>
          <cell r="M34">
            <v>88</v>
          </cell>
          <cell r="N34">
            <v>3.4</v>
          </cell>
          <cell r="O34">
            <v>23211.84</v>
          </cell>
          <cell r="P34">
            <v>50.1</v>
          </cell>
        </row>
        <row r="35">
          <cell r="A35">
            <v>88.001</v>
          </cell>
          <cell r="C35" t="str">
            <v>HIP &amp; FEMUR PROCEDURES FOR TRAUMA EXCEPT JOINT REPLACEMENT                        </v>
          </cell>
          <cell r="D35">
            <v>0</v>
          </cell>
          <cell r="E35">
            <v>6</v>
          </cell>
          <cell r="F35">
            <v>11</v>
          </cell>
          <cell r="G35">
            <v>71</v>
          </cell>
          <cell r="H35">
            <v>0</v>
          </cell>
          <cell r="I35">
            <v>88</v>
          </cell>
          <cell r="J35">
            <v>33</v>
          </cell>
          <cell r="K35">
            <v>55</v>
          </cell>
          <cell r="L35">
            <v>0</v>
          </cell>
          <cell r="M35">
            <v>88</v>
          </cell>
          <cell r="N35">
            <v>6.2</v>
          </cell>
          <cell r="O35">
            <v>41514.06</v>
          </cell>
          <cell r="P35">
            <v>75.4</v>
          </cell>
        </row>
        <row r="36">
          <cell r="A36">
            <v>88</v>
          </cell>
          <cell r="C36" t="str">
            <v>PERIPHERAL &amp; OTHER VASCULAR DISORDERS                                             </v>
          </cell>
          <cell r="D36">
            <v>0</v>
          </cell>
          <cell r="E36">
            <v>9</v>
          </cell>
          <cell r="F36">
            <v>25</v>
          </cell>
          <cell r="G36">
            <v>54</v>
          </cell>
          <cell r="H36">
            <v>0</v>
          </cell>
          <cell r="I36">
            <v>88</v>
          </cell>
          <cell r="J36">
            <v>45</v>
          </cell>
          <cell r="K36">
            <v>43</v>
          </cell>
          <cell r="L36">
            <v>0</v>
          </cell>
          <cell r="M36">
            <v>88</v>
          </cell>
          <cell r="N36">
            <v>5</v>
          </cell>
          <cell r="O36">
            <v>30467.36</v>
          </cell>
          <cell r="P36">
            <v>67.8</v>
          </cell>
        </row>
        <row r="37">
          <cell r="A37">
            <v>83</v>
          </cell>
          <cell r="C37" t="str">
            <v>CARDIAC CATHETERIZATION FOR ISCHEMIC HEART DISEASE                                </v>
          </cell>
          <cell r="D37">
            <v>0</v>
          </cell>
          <cell r="E37">
            <v>2</v>
          </cell>
          <cell r="F37">
            <v>37</v>
          </cell>
          <cell r="G37">
            <v>44</v>
          </cell>
          <cell r="H37">
            <v>0</v>
          </cell>
          <cell r="I37">
            <v>83</v>
          </cell>
          <cell r="J37">
            <v>42</v>
          </cell>
          <cell r="K37">
            <v>41</v>
          </cell>
          <cell r="L37">
            <v>0</v>
          </cell>
          <cell r="M37">
            <v>83</v>
          </cell>
          <cell r="N37">
            <v>2.4</v>
          </cell>
          <cell r="O37">
            <v>21512.22</v>
          </cell>
          <cell r="P37">
            <v>64.8</v>
          </cell>
        </row>
        <row r="38">
          <cell r="A38">
            <v>82</v>
          </cell>
          <cell r="C38" t="str">
            <v>NON-BACTERIAL GASTROENTERITIS, NAUSEA &amp; VOMITING                                  </v>
          </cell>
          <cell r="D38">
            <v>2</v>
          </cell>
          <cell r="E38">
            <v>14</v>
          </cell>
          <cell r="F38">
            <v>24</v>
          </cell>
          <cell r="G38">
            <v>42</v>
          </cell>
          <cell r="H38">
            <v>0</v>
          </cell>
          <cell r="I38">
            <v>82</v>
          </cell>
          <cell r="J38">
            <v>29</v>
          </cell>
          <cell r="K38">
            <v>53</v>
          </cell>
          <cell r="L38">
            <v>0</v>
          </cell>
          <cell r="M38">
            <v>82</v>
          </cell>
          <cell r="N38">
            <v>3.3</v>
          </cell>
          <cell r="O38">
            <v>21878.88</v>
          </cell>
          <cell r="P38">
            <v>62.7</v>
          </cell>
        </row>
        <row r="39">
          <cell r="A39">
            <v>78</v>
          </cell>
          <cell r="C39" t="str">
            <v>APPENDECTOMY                                                                      </v>
          </cell>
          <cell r="D39">
            <v>14</v>
          </cell>
          <cell r="E39">
            <v>26</v>
          </cell>
          <cell r="F39">
            <v>20</v>
          </cell>
          <cell r="G39">
            <v>18</v>
          </cell>
          <cell r="H39">
            <v>0</v>
          </cell>
          <cell r="I39">
            <v>78</v>
          </cell>
          <cell r="J39">
            <v>47</v>
          </cell>
          <cell r="K39">
            <v>31</v>
          </cell>
          <cell r="L39">
            <v>0</v>
          </cell>
          <cell r="M39">
            <v>78</v>
          </cell>
          <cell r="N39">
            <v>3.4</v>
          </cell>
          <cell r="O39">
            <v>32204.73</v>
          </cell>
          <cell r="P39">
            <v>43.1</v>
          </cell>
        </row>
        <row r="40">
          <cell r="A40">
            <v>75.001</v>
          </cell>
          <cell r="C40" t="str">
            <v>PULMONARY EMBOLISM                                                                </v>
          </cell>
          <cell r="D40">
            <v>0</v>
          </cell>
          <cell r="E40">
            <v>11</v>
          </cell>
          <cell r="F40">
            <v>18</v>
          </cell>
          <cell r="G40">
            <v>46</v>
          </cell>
          <cell r="H40">
            <v>0</v>
          </cell>
          <cell r="I40">
            <v>75</v>
          </cell>
          <cell r="J40">
            <v>33</v>
          </cell>
          <cell r="K40">
            <v>42</v>
          </cell>
          <cell r="L40">
            <v>0</v>
          </cell>
          <cell r="M40">
            <v>75</v>
          </cell>
          <cell r="N40">
            <v>4.2</v>
          </cell>
          <cell r="O40">
            <v>29215.99</v>
          </cell>
          <cell r="P40">
            <v>63.4</v>
          </cell>
        </row>
        <row r="41">
          <cell r="A41">
            <v>75</v>
          </cell>
          <cell r="C41" t="str">
            <v>EXTRACRANIAL VASCULAR PROCEDURES                                                  </v>
          </cell>
          <cell r="D41">
            <v>0</v>
          </cell>
          <cell r="E41">
            <v>0</v>
          </cell>
          <cell r="F41">
            <v>17</v>
          </cell>
          <cell r="G41">
            <v>58</v>
          </cell>
          <cell r="H41">
            <v>0</v>
          </cell>
          <cell r="I41">
            <v>75</v>
          </cell>
          <cell r="J41">
            <v>47</v>
          </cell>
          <cell r="K41">
            <v>28</v>
          </cell>
          <cell r="L41">
            <v>0</v>
          </cell>
          <cell r="M41">
            <v>75</v>
          </cell>
          <cell r="N41">
            <v>3.9</v>
          </cell>
          <cell r="O41">
            <v>45807.18</v>
          </cell>
          <cell r="P41">
            <v>70.3</v>
          </cell>
        </row>
        <row r="42">
          <cell r="A42">
            <v>73</v>
          </cell>
          <cell r="C42" t="str">
            <v>DISORDERS OF PANCREAS EXCEPT MALIGNANCY                                           </v>
          </cell>
          <cell r="D42">
            <v>1</v>
          </cell>
          <cell r="E42">
            <v>14</v>
          </cell>
          <cell r="F42">
            <v>34</v>
          </cell>
          <cell r="G42">
            <v>24</v>
          </cell>
          <cell r="H42">
            <v>0</v>
          </cell>
          <cell r="I42">
            <v>73</v>
          </cell>
          <cell r="J42">
            <v>31</v>
          </cell>
          <cell r="K42">
            <v>42</v>
          </cell>
          <cell r="L42">
            <v>0</v>
          </cell>
          <cell r="M42">
            <v>73</v>
          </cell>
          <cell r="N42">
            <v>4.7</v>
          </cell>
          <cell r="O42">
            <v>29806.52</v>
          </cell>
          <cell r="P42">
            <v>55.9</v>
          </cell>
        </row>
        <row r="43">
          <cell r="A43">
            <v>72.001</v>
          </cell>
          <cell r="C43" t="str">
            <v>POISONING OF MEDICINAL AGENTS                                                     </v>
          </cell>
          <cell r="D43">
            <v>0</v>
          </cell>
          <cell r="E43">
            <v>27</v>
          </cell>
          <cell r="F43">
            <v>36</v>
          </cell>
          <cell r="G43">
            <v>9</v>
          </cell>
          <cell r="H43">
            <v>0</v>
          </cell>
          <cell r="I43">
            <v>72</v>
          </cell>
          <cell r="J43">
            <v>36</v>
          </cell>
          <cell r="K43">
            <v>36</v>
          </cell>
          <cell r="L43">
            <v>0</v>
          </cell>
          <cell r="M43">
            <v>72</v>
          </cell>
          <cell r="N43">
            <v>3.8</v>
          </cell>
          <cell r="O43">
            <v>26627.81</v>
          </cell>
          <cell r="P43">
            <v>49.3</v>
          </cell>
        </row>
        <row r="44">
          <cell r="A44">
            <v>72</v>
          </cell>
          <cell r="C44" t="str">
            <v>ANGINA PECTORIS &amp; CORONARY ATHEROSCLEROSIS                                        </v>
          </cell>
          <cell r="D44">
            <v>0</v>
          </cell>
          <cell r="E44">
            <v>7</v>
          </cell>
          <cell r="F44">
            <v>27</v>
          </cell>
          <cell r="G44">
            <v>38</v>
          </cell>
          <cell r="H44">
            <v>0</v>
          </cell>
          <cell r="I44">
            <v>72</v>
          </cell>
          <cell r="J44">
            <v>37</v>
          </cell>
          <cell r="K44">
            <v>35</v>
          </cell>
          <cell r="L44">
            <v>0</v>
          </cell>
          <cell r="M44">
            <v>72</v>
          </cell>
          <cell r="N44">
            <v>1.7</v>
          </cell>
          <cell r="O44">
            <v>12753.16</v>
          </cell>
          <cell r="P44">
            <v>65.1</v>
          </cell>
        </row>
        <row r="45">
          <cell r="A45">
            <v>69</v>
          </cell>
          <cell r="C45" t="str">
            <v>CARDIAC CATHETERIZATION W CIRC DISORD EXC ISCHEMIC HEART DISEASE                  </v>
          </cell>
          <cell r="D45">
            <v>0</v>
          </cell>
          <cell r="E45">
            <v>3</v>
          </cell>
          <cell r="F45">
            <v>27</v>
          </cell>
          <cell r="G45">
            <v>39</v>
          </cell>
          <cell r="H45">
            <v>0</v>
          </cell>
          <cell r="I45">
            <v>69</v>
          </cell>
          <cell r="J45">
            <v>35</v>
          </cell>
          <cell r="K45">
            <v>34</v>
          </cell>
          <cell r="L45">
            <v>0</v>
          </cell>
          <cell r="M45">
            <v>69</v>
          </cell>
          <cell r="N45">
            <v>5.2</v>
          </cell>
          <cell r="O45">
            <v>35998.96</v>
          </cell>
          <cell r="P45">
            <v>66.2</v>
          </cell>
        </row>
        <row r="46">
          <cell r="A46">
            <v>65.001</v>
          </cell>
          <cell r="C46" t="str">
            <v>MAJOR GASTROINTESTINAL &amp; PERITONEAL INFECTIONS                                    </v>
          </cell>
          <cell r="D46">
            <v>1</v>
          </cell>
          <cell r="E46">
            <v>5</v>
          </cell>
          <cell r="F46">
            <v>15</v>
          </cell>
          <cell r="G46">
            <v>44</v>
          </cell>
          <cell r="H46">
            <v>0</v>
          </cell>
          <cell r="I46">
            <v>65</v>
          </cell>
          <cell r="J46">
            <v>14</v>
          </cell>
          <cell r="K46">
            <v>51</v>
          </cell>
          <cell r="L46">
            <v>0</v>
          </cell>
          <cell r="M46">
            <v>65</v>
          </cell>
          <cell r="N46">
            <v>7</v>
          </cell>
          <cell r="O46">
            <v>44340.78</v>
          </cell>
          <cell r="P46">
            <v>67.7</v>
          </cell>
        </row>
        <row r="47">
          <cell r="A47">
            <v>65</v>
          </cell>
          <cell r="C47" t="str">
            <v>CORONARY BYPASS W CARDIAC CATH OR PERCUTANEOUS CARDIAC PROCEDURE                  </v>
          </cell>
          <cell r="D47">
            <v>0</v>
          </cell>
          <cell r="E47">
            <v>0</v>
          </cell>
          <cell r="F47">
            <v>21</v>
          </cell>
          <cell r="G47">
            <v>44</v>
          </cell>
          <cell r="H47">
            <v>0</v>
          </cell>
          <cell r="I47">
            <v>65</v>
          </cell>
          <cell r="J47">
            <v>46</v>
          </cell>
          <cell r="K47">
            <v>19</v>
          </cell>
          <cell r="L47">
            <v>0</v>
          </cell>
          <cell r="M47">
            <v>65</v>
          </cell>
          <cell r="N47">
            <v>9</v>
          </cell>
          <cell r="O47">
            <v>127663.87</v>
          </cell>
          <cell r="P47">
            <v>67.8</v>
          </cell>
        </row>
        <row r="48">
          <cell r="A48">
            <v>62.001</v>
          </cell>
          <cell r="C48" t="str">
            <v>HERNIA PROCEDURES EXCEPT INGUINAL, FEMORAL &amp; UMBILICAL                            </v>
          </cell>
          <cell r="D48">
            <v>0</v>
          </cell>
          <cell r="E48">
            <v>8</v>
          </cell>
          <cell r="F48">
            <v>30</v>
          </cell>
          <cell r="G48">
            <v>24</v>
          </cell>
          <cell r="H48">
            <v>0</v>
          </cell>
          <cell r="I48">
            <v>62</v>
          </cell>
          <cell r="J48">
            <v>27</v>
          </cell>
          <cell r="K48">
            <v>35</v>
          </cell>
          <cell r="L48">
            <v>0</v>
          </cell>
          <cell r="M48">
            <v>62</v>
          </cell>
          <cell r="N48">
            <v>4.6</v>
          </cell>
          <cell r="O48">
            <v>45084.44</v>
          </cell>
          <cell r="P48">
            <v>61.6</v>
          </cell>
        </row>
        <row r="49">
          <cell r="A49">
            <v>62</v>
          </cell>
          <cell r="C49" t="str">
            <v>CHEST PAIN                                                                        </v>
          </cell>
          <cell r="D49">
            <v>0</v>
          </cell>
          <cell r="E49">
            <v>6</v>
          </cell>
          <cell r="F49">
            <v>28</v>
          </cell>
          <cell r="G49">
            <v>28</v>
          </cell>
          <cell r="H49">
            <v>0</v>
          </cell>
          <cell r="I49">
            <v>62</v>
          </cell>
          <cell r="J49">
            <v>26</v>
          </cell>
          <cell r="K49">
            <v>36</v>
          </cell>
          <cell r="L49">
            <v>0</v>
          </cell>
          <cell r="M49">
            <v>62</v>
          </cell>
          <cell r="N49">
            <v>2</v>
          </cell>
          <cell r="O49">
            <v>14013.08</v>
          </cell>
          <cell r="P49">
            <v>62</v>
          </cell>
        </row>
        <row r="50">
          <cell r="A50">
            <v>60</v>
          </cell>
          <cell r="C50" t="str">
            <v>SEIZURE                                                                           </v>
          </cell>
          <cell r="D50">
            <v>1</v>
          </cell>
          <cell r="E50">
            <v>15</v>
          </cell>
          <cell r="F50">
            <v>21</v>
          </cell>
          <cell r="G50">
            <v>23</v>
          </cell>
          <cell r="H50">
            <v>0</v>
          </cell>
          <cell r="I50">
            <v>60</v>
          </cell>
          <cell r="J50">
            <v>37</v>
          </cell>
          <cell r="K50">
            <v>23</v>
          </cell>
          <cell r="L50">
            <v>0</v>
          </cell>
          <cell r="M50">
            <v>60</v>
          </cell>
          <cell r="N50">
            <v>3.2</v>
          </cell>
          <cell r="O50">
            <v>21387.07</v>
          </cell>
          <cell r="P50">
            <v>56.8</v>
          </cell>
        </row>
        <row r="51">
          <cell r="A51">
            <v>59</v>
          </cell>
          <cell r="C51" t="str">
            <v>TRANSIENT ISCHEMIA                                                                </v>
          </cell>
          <cell r="D51">
            <v>0</v>
          </cell>
          <cell r="E51">
            <v>0</v>
          </cell>
          <cell r="F51">
            <v>12</v>
          </cell>
          <cell r="G51">
            <v>47</v>
          </cell>
          <cell r="H51">
            <v>0</v>
          </cell>
          <cell r="I51">
            <v>59</v>
          </cell>
          <cell r="J51">
            <v>29</v>
          </cell>
          <cell r="K51">
            <v>30</v>
          </cell>
          <cell r="L51">
            <v>0</v>
          </cell>
          <cell r="M51">
            <v>59</v>
          </cell>
          <cell r="N51">
            <v>2.4</v>
          </cell>
          <cell r="O51">
            <v>19354.25</v>
          </cell>
          <cell r="P51">
            <v>74.4</v>
          </cell>
        </row>
        <row r="52">
          <cell r="A52">
            <v>58</v>
          </cell>
          <cell r="C52" t="str">
            <v>OTHER &amp; UNSPECIFIED GASTROINTESTINAL HEMORRHAGE                                   </v>
          </cell>
          <cell r="D52">
            <v>0</v>
          </cell>
          <cell r="E52">
            <v>3</v>
          </cell>
          <cell r="F52">
            <v>14</v>
          </cell>
          <cell r="G52">
            <v>41</v>
          </cell>
          <cell r="H52">
            <v>0</v>
          </cell>
          <cell r="I52">
            <v>58</v>
          </cell>
          <cell r="J52">
            <v>29</v>
          </cell>
          <cell r="K52">
            <v>29</v>
          </cell>
          <cell r="L52">
            <v>0</v>
          </cell>
          <cell r="M52">
            <v>58</v>
          </cell>
          <cell r="N52">
            <v>4.1</v>
          </cell>
          <cell r="O52">
            <v>34358.6</v>
          </cell>
          <cell r="P52">
            <v>72.1</v>
          </cell>
        </row>
        <row r="53">
          <cell r="A53">
            <v>56</v>
          </cell>
          <cell r="C53" t="str">
            <v>PEPTIC ULCER &amp; GASTRITIS                                                          </v>
          </cell>
          <cell r="D53">
            <v>0</v>
          </cell>
          <cell r="E53">
            <v>12</v>
          </cell>
          <cell r="F53">
            <v>13</v>
          </cell>
          <cell r="G53">
            <v>31</v>
          </cell>
          <cell r="H53">
            <v>0</v>
          </cell>
          <cell r="I53">
            <v>56</v>
          </cell>
          <cell r="J53">
            <v>25</v>
          </cell>
          <cell r="K53">
            <v>31</v>
          </cell>
          <cell r="L53">
            <v>0</v>
          </cell>
          <cell r="M53">
            <v>56</v>
          </cell>
          <cell r="N53">
            <v>4.2</v>
          </cell>
          <cell r="O53">
            <v>38006.93</v>
          </cell>
          <cell r="P53">
            <v>62.4</v>
          </cell>
        </row>
        <row r="54">
          <cell r="A54">
            <v>53</v>
          </cell>
          <cell r="C54" t="str">
            <v>CERVICAL SPINAL FUSION &amp; OTHER BACK/NECK PROC EXC DISC EXCIS/ DECOMP              </v>
          </cell>
          <cell r="D54">
            <v>0</v>
          </cell>
          <cell r="E54">
            <v>14</v>
          </cell>
          <cell r="F54">
            <v>30</v>
          </cell>
          <cell r="G54">
            <v>9</v>
          </cell>
          <cell r="H54">
            <v>0</v>
          </cell>
          <cell r="I54">
            <v>53</v>
          </cell>
          <cell r="J54">
            <v>26</v>
          </cell>
          <cell r="K54">
            <v>27</v>
          </cell>
          <cell r="L54">
            <v>0</v>
          </cell>
          <cell r="M54">
            <v>53</v>
          </cell>
          <cell r="N54">
            <v>1.2</v>
          </cell>
          <cell r="O54">
            <v>30969.68</v>
          </cell>
          <cell r="P54">
            <v>52.7</v>
          </cell>
        </row>
        <row r="55">
          <cell r="A55">
            <v>50</v>
          </cell>
          <cell r="C55" t="str">
            <v>SHOULDER, UPPER ARM  &amp; FOREARM PROCEDURES                                         </v>
          </cell>
          <cell r="D55">
            <v>2</v>
          </cell>
          <cell r="E55">
            <v>4</v>
          </cell>
          <cell r="F55">
            <v>19</v>
          </cell>
          <cell r="G55">
            <v>25</v>
          </cell>
          <cell r="H55">
            <v>0</v>
          </cell>
          <cell r="I55">
            <v>50</v>
          </cell>
          <cell r="J55">
            <v>23</v>
          </cell>
          <cell r="K55">
            <v>27</v>
          </cell>
          <cell r="L55">
            <v>0</v>
          </cell>
          <cell r="M55">
            <v>50</v>
          </cell>
          <cell r="N55">
            <v>3</v>
          </cell>
          <cell r="O55">
            <v>31852.58</v>
          </cell>
          <cell r="P55">
            <v>61.7</v>
          </cell>
        </row>
        <row r="56">
          <cell r="A56">
            <v>48</v>
          </cell>
          <cell r="C56" t="str">
            <v>ELECTROLYTE DISORDERS EXCEPT HYPOVOLEMIA RELATED                                  </v>
          </cell>
          <cell r="D56">
            <v>0</v>
          </cell>
          <cell r="E56">
            <v>0</v>
          </cell>
          <cell r="F56">
            <v>22</v>
          </cell>
          <cell r="G56">
            <v>26</v>
          </cell>
          <cell r="H56">
            <v>0</v>
          </cell>
          <cell r="I56">
            <v>48</v>
          </cell>
          <cell r="J56">
            <v>20</v>
          </cell>
          <cell r="K56">
            <v>28</v>
          </cell>
          <cell r="L56">
            <v>0</v>
          </cell>
          <cell r="M56">
            <v>48</v>
          </cell>
          <cell r="N56">
            <v>3.6</v>
          </cell>
          <cell r="O56">
            <v>19401.46</v>
          </cell>
          <cell r="P56">
            <v>70.3</v>
          </cell>
        </row>
        <row r="57">
          <cell r="A57">
            <v>47</v>
          </cell>
          <cell r="C57" t="str">
            <v>ABDOMINAL PAIN                                                                    </v>
          </cell>
          <cell r="D57">
            <v>2</v>
          </cell>
          <cell r="E57">
            <v>18</v>
          </cell>
          <cell r="F57">
            <v>10</v>
          </cell>
          <cell r="G57">
            <v>17</v>
          </cell>
          <cell r="H57">
            <v>0</v>
          </cell>
          <cell r="I57">
            <v>47</v>
          </cell>
          <cell r="J57">
            <v>14</v>
          </cell>
          <cell r="K57">
            <v>33</v>
          </cell>
          <cell r="L57">
            <v>0</v>
          </cell>
          <cell r="M57">
            <v>47</v>
          </cell>
          <cell r="N57">
            <v>3.1</v>
          </cell>
          <cell r="O57">
            <v>19190.8</v>
          </cell>
          <cell r="P57">
            <v>52.3</v>
          </cell>
        </row>
        <row r="58">
          <cell r="A58">
            <v>44.001</v>
          </cell>
          <cell r="C58" t="str">
            <v>UNGROUPABLE                                                                       </v>
          </cell>
          <cell r="D58">
            <v>0</v>
          </cell>
          <cell r="E58">
            <v>1</v>
          </cell>
          <cell r="F58">
            <v>9</v>
          </cell>
          <cell r="G58">
            <v>34</v>
          </cell>
          <cell r="H58">
            <v>0</v>
          </cell>
          <cell r="I58">
            <v>44</v>
          </cell>
          <cell r="J58">
            <v>15</v>
          </cell>
          <cell r="K58">
            <v>29</v>
          </cell>
          <cell r="L58">
            <v>0</v>
          </cell>
          <cell r="M58">
            <v>44</v>
          </cell>
          <cell r="N58">
            <v>4.1</v>
          </cell>
          <cell r="O58">
            <v>28311.84</v>
          </cell>
          <cell r="P58">
            <v>72.4</v>
          </cell>
        </row>
        <row r="59">
          <cell r="A59">
            <v>44</v>
          </cell>
          <cell r="C59" t="str">
            <v>PERM CARDIAC PACEMAKER IMPLANT W/O AMI, HEART FAILURE OR SHOCK                    </v>
          </cell>
          <cell r="D59">
            <v>0</v>
          </cell>
          <cell r="E59">
            <v>0</v>
          </cell>
          <cell r="F59">
            <v>4</v>
          </cell>
          <cell r="G59">
            <v>40</v>
          </cell>
          <cell r="H59">
            <v>0</v>
          </cell>
          <cell r="I59">
            <v>44</v>
          </cell>
          <cell r="J59">
            <v>25</v>
          </cell>
          <cell r="K59">
            <v>19</v>
          </cell>
          <cell r="L59">
            <v>0</v>
          </cell>
          <cell r="M59">
            <v>44</v>
          </cell>
          <cell r="N59">
            <v>3.8</v>
          </cell>
          <cell r="O59">
            <v>43186.05</v>
          </cell>
          <cell r="P59">
            <v>79.7</v>
          </cell>
        </row>
        <row r="60">
          <cell r="A60">
            <v>41</v>
          </cell>
          <cell r="C60" t="str">
            <v>OTHER DIGESTIVE SYSTEM DIAGNOSES                                                  </v>
          </cell>
          <cell r="D60">
            <v>1</v>
          </cell>
          <cell r="E60">
            <v>2</v>
          </cell>
          <cell r="F60">
            <v>14</v>
          </cell>
          <cell r="G60">
            <v>24</v>
          </cell>
          <cell r="H60">
            <v>0</v>
          </cell>
          <cell r="I60">
            <v>41</v>
          </cell>
          <cell r="J60">
            <v>16</v>
          </cell>
          <cell r="K60">
            <v>25</v>
          </cell>
          <cell r="L60">
            <v>0</v>
          </cell>
          <cell r="M60">
            <v>41</v>
          </cell>
          <cell r="N60">
            <v>5</v>
          </cell>
          <cell r="O60">
            <v>31563.91</v>
          </cell>
          <cell r="P60">
            <v>66.2</v>
          </cell>
        </row>
        <row r="61">
          <cell r="A61">
            <v>40.001</v>
          </cell>
          <cell r="C61" t="str">
            <v>OTHER BACK &amp; NECK DISORDERS, FRACTURES &amp; INJURIES                                 </v>
          </cell>
          <cell r="D61">
            <v>0</v>
          </cell>
          <cell r="E61">
            <v>4</v>
          </cell>
          <cell r="F61">
            <v>12</v>
          </cell>
          <cell r="G61">
            <v>24</v>
          </cell>
          <cell r="H61">
            <v>0</v>
          </cell>
          <cell r="I61">
            <v>40</v>
          </cell>
          <cell r="J61">
            <v>16</v>
          </cell>
          <cell r="K61">
            <v>24</v>
          </cell>
          <cell r="L61">
            <v>0</v>
          </cell>
          <cell r="M61">
            <v>40</v>
          </cell>
          <cell r="N61">
            <v>4.8</v>
          </cell>
          <cell r="O61">
            <v>20586.18</v>
          </cell>
          <cell r="P61">
            <v>68.5</v>
          </cell>
        </row>
        <row r="62">
          <cell r="A62">
            <v>40</v>
          </cell>
          <cell r="C62" t="str">
            <v>OTHER RESPIRATORY DIAGNOSES EXCEPT SIGNS, SYMPTOMS &amp; MINOR DIAGNOSES              </v>
          </cell>
          <cell r="D62">
            <v>0</v>
          </cell>
          <cell r="E62">
            <v>8</v>
          </cell>
          <cell r="F62">
            <v>11</v>
          </cell>
          <cell r="G62">
            <v>21</v>
          </cell>
          <cell r="H62">
            <v>0</v>
          </cell>
          <cell r="I62">
            <v>40</v>
          </cell>
          <cell r="J62">
            <v>25</v>
          </cell>
          <cell r="K62">
            <v>15</v>
          </cell>
          <cell r="L62">
            <v>0</v>
          </cell>
          <cell r="M62">
            <v>40</v>
          </cell>
          <cell r="N62">
            <v>4.7</v>
          </cell>
          <cell r="O62">
            <v>25346.77</v>
          </cell>
          <cell r="P62">
            <v>59.2</v>
          </cell>
        </row>
        <row r="63">
          <cell r="A63">
            <v>38.001</v>
          </cell>
          <cell r="C63" t="str">
            <v>OTHER MUSCULOSKELETAL SYSTEM &amp; CONNECTIVE TISSUE DIAGNOSES                        </v>
          </cell>
          <cell r="D63">
            <v>0</v>
          </cell>
          <cell r="E63">
            <v>3</v>
          </cell>
          <cell r="F63">
            <v>9</v>
          </cell>
          <cell r="G63">
            <v>26</v>
          </cell>
          <cell r="H63">
            <v>0</v>
          </cell>
          <cell r="I63">
            <v>38</v>
          </cell>
          <cell r="J63">
            <v>25</v>
          </cell>
          <cell r="K63">
            <v>13</v>
          </cell>
          <cell r="L63">
            <v>0</v>
          </cell>
          <cell r="M63">
            <v>38</v>
          </cell>
          <cell r="N63">
            <v>3.7</v>
          </cell>
          <cell r="O63">
            <v>18499.96</v>
          </cell>
          <cell r="P63">
            <v>70.9</v>
          </cell>
        </row>
        <row r="64">
          <cell r="A64">
            <v>38.001</v>
          </cell>
          <cell r="C64" t="str">
            <v>RESPIRATORY SIGNS, SYMPTOMS &amp; MINOR DIAGNOSES                                     </v>
          </cell>
          <cell r="D64">
            <v>0</v>
          </cell>
          <cell r="E64">
            <v>1</v>
          </cell>
          <cell r="F64">
            <v>7</v>
          </cell>
          <cell r="G64">
            <v>30</v>
          </cell>
          <cell r="H64">
            <v>0</v>
          </cell>
          <cell r="I64">
            <v>38</v>
          </cell>
          <cell r="J64">
            <v>21</v>
          </cell>
          <cell r="K64">
            <v>17</v>
          </cell>
          <cell r="L64">
            <v>0</v>
          </cell>
          <cell r="M64">
            <v>38</v>
          </cell>
          <cell r="N64">
            <v>3.6</v>
          </cell>
          <cell r="O64">
            <v>19931.9</v>
          </cell>
          <cell r="P64">
            <v>73.7</v>
          </cell>
        </row>
        <row r="65">
          <cell r="A65">
            <v>38</v>
          </cell>
          <cell r="C65" t="str">
            <v>ASTHMA                                                                            </v>
          </cell>
          <cell r="D65">
            <v>10</v>
          </cell>
          <cell r="E65">
            <v>9</v>
          </cell>
          <cell r="F65">
            <v>15</v>
          </cell>
          <cell r="G65">
            <v>4</v>
          </cell>
          <cell r="H65">
            <v>0</v>
          </cell>
          <cell r="I65">
            <v>38</v>
          </cell>
          <cell r="J65">
            <v>11</v>
          </cell>
          <cell r="K65">
            <v>27</v>
          </cell>
          <cell r="L65">
            <v>0</v>
          </cell>
          <cell r="M65">
            <v>38</v>
          </cell>
          <cell r="N65">
            <v>2.8</v>
          </cell>
          <cell r="O65">
            <v>14440.7</v>
          </cell>
          <cell r="P65">
            <v>40.2</v>
          </cell>
        </row>
        <row r="66">
          <cell r="A66">
            <v>35</v>
          </cell>
          <cell r="C66" t="str">
            <v>POST-OPERATIVE, POST-TRAUMATIC, OTHER DEVICE INFECTIONS                           </v>
          </cell>
          <cell r="D66">
            <v>1</v>
          </cell>
          <cell r="E66">
            <v>7</v>
          </cell>
          <cell r="F66">
            <v>10</v>
          </cell>
          <cell r="G66">
            <v>17</v>
          </cell>
          <cell r="H66">
            <v>0</v>
          </cell>
          <cell r="I66">
            <v>35</v>
          </cell>
          <cell r="J66">
            <v>13</v>
          </cell>
          <cell r="K66">
            <v>22</v>
          </cell>
          <cell r="L66">
            <v>0</v>
          </cell>
          <cell r="M66">
            <v>35</v>
          </cell>
          <cell r="N66">
            <v>5.3</v>
          </cell>
          <cell r="O66">
            <v>33608.98</v>
          </cell>
          <cell r="P66">
            <v>58.8</v>
          </cell>
        </row>
        <row r="67">
          <cell r="A67">
            <v>34.001</v>
          </cell>
          <cell r="C67" t="str">
            <v>CARDIAC VALVE PROCEDURES W/O CARDIAC CATHETERIZATION                              </v>
          </cell>
          <cell r="D67">
            <v>0</v>
          </cell>
          <cell r="E67">
            <v>2</v>
          </cell>
          <cell r="F67">
            <v>7</v>
          </cell>
          <cell r="G67">
            <v>25</v>
          </cell>
          <cell r="H67">
            <v>0</v>
          </cell>
          <cell r="I67">
            <v>34</v>
          </cell>
          <cell r="J67">
            <v>23</v>
          </cell>
          <cell r="K67">
            <v>11</v>
          </cell>
          <cell r="L67">
            <v>0</v>
          </cell>
          <cell r="M67">
            <v>34</v>
          </cell>
          <cell r="N67">
            <v>9.4</v>
          </cell>
          <cell r="O67">
            <v>142764.3</v>
          </cell>
          <cell r="P67">
            <v>70.5</v>
          </cell>
        </row>
        <row r="68">
          <cell r="A68">
            <v>34</v>
          </cell>
          <cell r="C68" t="str">
            <v>OTHER RESPIRATORY &amp; CHEST PROCEDURES                                              </v>
          </cell>
          <cell r="D68">
            <v>0</v>
          </cell>
          <cell r="E68">
            <v>3</v>
          </cell>
          <cell r="F68">
            <v>12</v>
          </cell>
          <cell r="G68">
            <v>19</v>
          </cell>
          <cell r="H68">
            <v>0</v>
          </cell>
          <cell r="I68">
            <v>34</v>
          </cell>
          <cell r="J68">
            <v>25</v>
          </cell>
          <cell r="K68">
            <v>9</v>
          </cell>
          <cell r="L68">
            <v>0</v>
          </cell>
          <cell r="M68">
            <v>34</v>
          </cell>
          <cell r="N68">
            <v>7.6</v>
          </cell>
          <cell r="O68">
            <v>63200.91</v>
          </cell>
          <cell r="P68">
            <v>65.3</v>
          </cell>
        </row>
        <row r="69">
          <cell r="A69">
            <v>32</v>
          </cell>
          <cell r="C69" t="str">
            <v>ALCOHOL ABUSE &amp; DEPENDENCE                                                        </v>
          </cell>
          <cell r="D69">
            <v>0</v>
          </cell>
          <cell r="E69">
            <v>7</v>
          </cell>
          <cell r="F69">
            <v>20</v>
          </cell>
          <cell r="G69">
            <v>5</v>
          </cell>
          <cell r="H69">
            <v>0</v>
          </cell>
          <cell r="I69">
            <v>32</v>
          </cell>
          <cell r="J69">
            <v>21</v>
          </cell>
          <cell r="K69">
            <v>11</v>
          </cell>
          <cell r="L69">
            <v>0</v>
          </cell>
          <cell r="M69">
            <v>32</v>
          </cell>
          <cell r="N69">
            <v>4.2</v>
          </cell>
          <cell r="O69">
            <v>23257.64</v>
          </cell>
          <cell r="P69">
            <v>53.5</v>
          </cell>
        </row>
        <row r="70">
          <cell r="A70">
            <v>31.001</v>
          </cell>
          <cell r="C70" t="str">
            <v>HYPOVOLEMIA &amp; RELATED ELECTROLYTE DISORDERS                                       </v>
          </cell>
          <cell r="D70">
            <v>0</v>
          </cell>
          <cell r="E70">
            <v>1</v>
          </cell>
          <cell r="F70">
            <v>11</v>
          </cell>
          <cell r="G70">
            <v>19</v>
          </cell>
          <cell r="H70">
            <v>0</v>
          </cell>
          <cell r="I70">
            <v>31</v>
          </cell>
          <cell r="J70">
            <v>10</v>
          </cell>
          <cell r="K70">
            <v>21</v>
          </cell>
          <cell r="L70">
            <v>0</v>
          </cell>
          <cell r="M70">
            <v>31</v>
          </cell>
          <cell r="N70">
            <v>4.5</v>
          </cell>
          <cell r="O70">
            <v>25880.61</v>
          </cell>
          <cell r="P70">
            <v>68.6</v>
          </cell>
        </row>
        <row r="71">
          <cell r="A71">
            <v>31.001</v>
          </cell>
          <cell r="C71" t="str">
            <v>CORONARY BYPASS W/O CARDIAC CATH OR PERCUTANEOUS CARDIAC PROCEDURE                </v>
          </cell>
          <cell r="D71">
            <v>0</v>
          </cell>
          <cell r="E71">
            <v>0</v>
          </cell>
          <cell r="F71">
            <v>14</v>
          </cell>
          <cell r="G71">
            <v>17</v>
          </cell>
          <cell r="H71">
            <v>0</v>
          </cell>
          <cell r="I71">
            <v>31</v>
          </cell>
          <cell r="J71">
            <v>21</v>
          </cell>
          <cell r="K71">
            <v>10</v>
          </cell>
          <cell r="L71">
            <v>0</v>
          </cell>
          <cell r="M71">
            <v>31</v>
          </cell>
          <cell r="N71">
            <v>4.5</v>
          </cell>
          <cell r="O71">
            <v>83917.84</v>
          </cell>
          <cell r="P71">
            <v>65.5</v>
          </cell>
        </row>
        <row r="72">
          <cell r="A72">
            <v>31</v>
          </cell>
          <cell r="C72" t="str">
            <v>MAJOR CHEST &amp; RESPIRATORY TRAUMA                                                  </v>
          </cell>
          <cell r="D72">
            <v>1</v>
          </cell>
          <cell r="E72">
            <v>7</v>
          </cell>
          <cell r="F72">
            <v>11</v>
          </cell>
          <cell r="G72">
            <v>12</v>
          </cell>
          <cell r="H72">
            <v>0</v>
          </cell>
          <cell r="I72">
            <v>31</v>
          </cell>
          <cell r="J72">
            <v>21</v>
          </cell>
          <cell r="K72">
            <v>10</v>
          </cell>
          <cell r="L72">
            <v>0</v>
          </cell>
          <cell r="M72">
            <v>31</v>
          </cell>
          <cell r="N72">
            <v>3.2</v>
          </cell>
          <cell r="O72">
            <v>19425.25</v>
          </cell>
          <cell r="P72">
            <v>58.7</v>
          </cell>
        </row>
        <row r="73">
          <cell r="A73">
            <v>30</v>
          </cell>
          <cell r="C73" t="str">
            <v>SIGNS, SYMPTOMS &amp; OTHER FACTORS INFLUENCING HEALTH STATUS                         </v>
          </cell>
          <cell r="D73">
            <v>0</v>
          </cell>
          <cell r="E73">
            <v>3</v>
          </cell>
          <cell r="F73">
            <v>16</v>
          </cell>
          <cell r="G73">
            <v>11</v>
          </cell>
          <cell r="H73">
            <v>0</v>
          </cell>
          <cell r="I73">
            <v>30</v>
          </cell>
          <cell r="J73">
            <v>9</v>
          </cell>
          <cell r="K73">
            <v>21</v>
          </cell>
          <cell r="L73">
            <v>0</v>
          </cell>
          <cell r="M73">
            <v>30</v>
          </cell>
          <cell r="N73">
            <v>4.1</v>
          </cell>
          <cell r="O73">
            <v>23241.74</v>
          </cell>
          <cell r="P73">
            <v>59.4</v>
          </cell>
        </row>
        <row r="74">
          <cell r="A74">
            <v>28.001</v>
          </cell>
          <cell r="C74" t="str">
            <v>OTHER COMPLICATIONS OF TREATMENT                                                  </v>
          </cell>
          <cell r="D74">
            <v>0</v>
          </cell>
          <cell r="E74">
            <v>3</v>
          </cell>
          <cell r="F74">
            <v>5</v>
          </cell>
          <cell r="G74">
            <v>20</v>
          </cell>
          <cell r="H74">
            <v>0</v>
          </cell>
          <cell r="I74">
            <v>28</v>
          </cell>
          <cell r="J74">
            <v>19</v>
          </cell>
          <cell r="K74">
            <v>9</v>
          </cell>
          <cell r="L74">
            <v>0</v>
          </cell>
          <cell r="M74">
            <v>28</v>
          </cell>
          <cell r="N74">
            <v>4.3</v>
          </cell>
          <cell r="O74">
            <v>26654.55</v>
          </cell>
          <cell r="P74">
            <v>65.5</v>
          </cell>
        </row>
        <row r="75">
          <cell r="A75">
            <v>28.001</v>
          </cell>
          <cell r="C75" t="str">
            <v>OTHER CIRCULATORY SYSTEM DIAGNOSES                                                </v>
          </cell>
          <cell r="D75">
            <v>0</v>
          </cell>
          <cell r="E75">
            <v>2</v>
          </cell>
          <cell r="F75">
            <v>8</v>
          </cell>
          <cell r="G75">
            <v>18</v>
          </cell>
          <cell r="H75">
            <v>0</v>
          </cell>
          <cell r="I75">
            <v>28</v>
          </cell>
          <cell r="J75">
            <v>14</v>
          </cell>
          <cell r="K75">
            <v>14</v>
          </cell>
          <cell r="L75">
            <v>0</v>
          </cell>
          <cell r="M75">
            <v>28</v>
          </cell>
          <cell r="N75">
            <v>3.5</v>
          </cell>
          <cell r="O75">
            <v>24708.14</v>
          </cell>
          <cell r="P75">
            <v>66.7</v>
          </cell>
        </row>
        <row r="76">
          <cell r="A76">
            <v>28</v>
          </cell>
          <cell r="C76" t="str">
            <v>RESPIRATORY MALIGNANCY                                                            </v>
          </cell>
          <cell r="D76">
            <v>0</v>
          </cell>
          <cell r="E76">
            <v>0</v>
          </cell>
          <cell r="F76">
            <v>7</v>
          </cell>
          <cell r="G76">
            <v>21</v>
          </cell>
          <cell r="H76">
            <v>0</v>
          </cell>
          <cell r="I76">
            <v>28</v>
          </cell>
          <cell r="J76">
            <v>15</v>
          </cell>
          <cell r="K76">
            <v>13</v>
          </cell>
          <cell r="L76">
            <v>0</v>
          </cell>
          <cell r="M76">
            <v>28</v>
          </cell>
          <cell r="N76">
            <v>5.7</v>
          </cell>
          <cell r="O76">
            <v>36718.66</v>
          </cell>
          <cell r="P76">
            <v>73.3</v>
          </cell>
        </row>
        <row r="77">
          <cell r="A77">
            <v>27</v>
          </cell>
          <cell r="C77" t="str">
            <v>MAJOR THORACIC &amp; ABDOMINAL VASCULAR PROCEDURES                                    </v>
          </cell>
          <cell r="D77">
            <v>0</v>
          </cell>
          <cell r="E77">
            <v>1</v>
          </cell>
          <cell r="F77">
            <v>7</v>
          </cell>
          <cell r="G77">
            <v>19</v>
          </cell>
          <cell r="H77">
            <v>0</v>
          </cell>
          <cell r="I77">
            <v>27</v>
          </cell>
          <cell r="J77">
            <v>18</v>
          </cell>
          <cell r="K77">
            <v>9</v>
          </cell>
          <cell r="L77">
            <v>0</v>
          </cell>
          <cell r="M77">
            <v>27</v>
          </cell>
          <cell r="N77">
            <v>8.1</v>
          </cell>
          <cell r="O77">
            <v>92438.43</v>
          </cell>
          <cell r="P77">
            <v>66.9</v>
          </cell>
        </row>
        <row r="78">
          <cell r="A78">
            <v>26.001</v>
          </cell>
          <cell r="C78" t="str">
            <v>FOOT &amp; TOE PROCEDURES                                                             </v>
          </cell>
          <cell r="D78">
            <v>0</v>
          </cell>
          <cell r="E78">
            <v>0</v>
          </cell>
          <cell r="F78">
            <v>15</v>
          </cell>
          <cell r="G78">
            <v>11</v>
          </cell>
          <cell r="H78">
            <v>0</v>
          </cell>
          <cell r="I78">
            <v>26</v>
          </cell>
          <cell r="J78">
            <v>23</v>
          </cell>
          <cell r="K78">
            <v>3</v>
          </cell>
          <cell r="L78">
            <v>0</v>
          </cell>
          <cell r="M78">
            <v>26</v>
          </cell>
          <cell r="N78">
            <v>7.6</v>
          </cell>
          <cell r="O78">
            <v>43887.29</v>
          </cell>
          <cell r="P78">
            <v>64</v>
          </cell>
        </row>
        <row r="79">
          <cell r="A79">
            <v>26</v>
          </cell>
          <cell r="C79" t="str">
            <v>DISORDERS OF GALLBLADDER &amp; BILIARY TRACT                                          </v>
          </cell>
          <cell r="D79">
            <v>0</v>
          </cell>
          <cell r="E79">
            <v>6</v>
          </cell>
          <cell r="F79">
            <v>7</v>
          </cell>
          <cell r="G79">
            <v>13</v>
          </cell>
          <cell r="H79">
            <v>0</v>
          </cell>
          <cell r="I79">
            <v>26</v>
          </cell>
          <cell r="J79">
            <v>13</v>
          </cell>
          <cell r="K79">
            <v>13</v>
          </cell>
          <cell r="L79">
            <v>0</v>
          </cell>
          <cell r="M79">
            <v>26</v>
          </cell>
          <cell r="N79">
            <v>3.5</v>
          </cell>
          <cell r="O79">
            <v>24233.4</v>
          </cell>
          <cell r="P79">
            <v>60.5</v>
          </cell>
        </row>
        <row r="80">
          <cell r="A80">
            <v>25.001</v>
          </cell>
          <cell r="C80" t="str">
            <v>NEONATE, TRANSFERRED &lt; 5 DAYS OLD, BORN HERE                                      </v>
          </cell>
          <cell r="D80">
            <v>25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25</v>
          </cell>
          <cell r="J80">
            <v>17</v>
          </cell>
          <cell r="K80">
            <v>8</v>
          </cell>
          <cell r="L80">
            <v>0</v>
          </cell>
          <cell r="M80">
            <v>25</v>
          </cell>
          <cell r="N80">
            <v>1</v>
          </cell>
          <cell r="O80">
            <v>3983.93</v>
          </cell>
          <cell r="P80">
            <v>0</v>
          </cell>
        </row>
        <row r="81">
          <cell r="A81">
            <v>25.001</v>
          </cell>
          <cell r="C81" t="str">
            <v>UTERINE &amp; ADNEXA PROCEDURES FOR NON-MALIGNANCY EXCEPT LEIOMYOMA                   </v>
          </cell>
          <cell r="D81">
            <v>2</v>
          </cell>
          <cell r="E81">
            <v>10</v>
          </cell>
          <cell r="F81">
            <v>11</v>
          </cell>
          <cell r="G81">
            <v>2</v>
          </cell>
          <cell r="H81">
            <v>0</v>
          </cell>
          <cell r="I81">
            <v>25</v>
          </cell>
          <cell r="J81">
            <v>0</v>
          </cell>
          <cell r="K81">
            <v>25</v>
          </cell>
          <cell r="L81">
            <v>0</v>
          </cell>
          <cell r="M81">
            <v>25</v>
          </cell>
          <cell r="N81">
            <v>2.6</v>
          </cell>
          <cell r="O81">
            <v>23855.17</v>
          </cell>
          <cell r="P81">
            <v>45</v>
          </cell>
        </row>
        <row r="82">
          <cell r="A82">
            <v>25</v>
          </cell>
          <cell r="C82" t="str">
            <v>INTERVERTEBRAL DISC EXCISION &amp; DECOMPRESSION                                      </v>
          </cell>
          <cell r="D82">
            <v>0</v>
          </cell>
          <cell r="E82">
            <v>4</v>
          </cell>
          <cell r="F82">
            <v>5</v>
          </cell>
          <cell r="G82">
            <v>16</v>
          </cell>
          <cell r="H82">
            <v>0</v>
          </cell>
          <cell r="I82">
            <v>25</v>
          </cell>
          <cell r="J82">
            <v>18</v>
          </cell>
          <cell r="K82">
            <v>7</v>
          </cell>
          <cell r="L82">
            <v>0</v>
          </cell>
          <cell r="M82">
            <v>25</v>
          </cell>
          <cell r="N82">
            <v>2.1</v>
          </cell>
          <cell r="O82">
            <v>23217.84</v>
          </cell>
          <cell r="P82">
            <v>62.9</v>
          </cell>
        </row>
        <row r="83">
          <cell r="A83">
            <v>24.001</v>
          </cell>
          <cell r="C83" t="str">
            <v>NEONATE BIRTHWT &gt;2499G W OTHER SIGNIFICANT CONDITION                              </v>
          </cell>
          <cell r="D83">
            <v>24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24</v>
          </cell>
          <cell r="J83">
            <v>13</v>
          </cell>
          <cell r="K83">
            <v>11</v>
          </cell>
          <cell r="L83">
            <v>0</v>
          </cell>
          <cell r="M83">
            <v>24</v>
          </cell>
          <cell r="N83">
            <v>9.8</v>
          </cell>
          <cell r="O83">
            <v>13428.82</v>
          </cell>
          <cell r="P83">
            <v>0</v>
          </cell>
        </row>
        <row r="84">
          <cell r="A84">
            <v>24</v>
          </cell>
          <cell r="C84" t="str">
            <v>OSTEOMYELITIS, SEPTIC ARTHRITIS &amp; OTHER MUSCULOSKELETAL INFECTIONS                </v>
          </cell>
          <cell r="D84">
            <v>0</v>
          </cell>
          <cell r="E84">
            <v>4</v>
          </cell>
          <cell r="F84">
            <v>9</v>
          </cell>
          <cell r="G84">
            <v>11</v>
          </cell>
          <cell r="H84">
            <v>0</v>
          </cell>
          <cell r="I84">
            <v>24</v>
          </cell>
          <cell r="J84">
            <v>16</v>
          </cell>
          <cell r="K84">
            <v>8</v>
          </cell>
          <cell r="L84">
            <v>0</v>
          </cell>
          <cell r="M84">
            <v>24</v>
          </cell>
          <cell r="N84">
            <v>6.9</v>
          </cell>
          <cell r="O84">
            <v>36217.29</v>
          </cell>
          <cell r="P84">
            <v>61.6</v>
          </cell>
        </row>
        <row r="85">
          <cell r="A85">
            <v>23</v>
          </cell>
          <cell r="C85" t="str">
            <v>HEPATIC COMA &amp; OTHER MAJOR ACUTE LIVER DISORDERS                                  </v>
          </cell>
          <cell r="D85">
            <v>0</v>
          </cell>
          <cell r="E85">
            <v>5</v>
          </cell>
          <cell r="F85">
            <v>12</v>
          </cell>
          <cell r="G85">
            <v>6</v>
          </cell>
          <cell r="H85">
            <v>0</v>
          </cell>
          <cell r="I85">
            <v>23</v>
          </cell>
          <cell r="J85">
            <v>9</v>
          </cell>
          <cell r="K85">
            <v>14</v>
          </cell>
          <cell r="L85">
            <v>0</v>
          </cell>
          <cell r="M85">
            <v>23</v>
          </cell>
          <cell r="N85">
            <v>5</v>
          </cell>
          <cell r="O85">
            <v>33508.46</v>
          </cell>
          <cell r="P85">
            <v>57.1</v>
          </cell>
        </row>
        <row r="86">
          <cell r="A86">
            <v>22.001</v>
          </cell>
          <cell r="C86" t="str">
            <v>MAJOR HEMATOLOGIC/IMMUNOLOGIC DIAG EXC SICKLE CELL CRISIS &amp; COAGUL                </v>
          </cell>
          <cell r="D86">
            <v>0</v>
          </cell>
          <cell r="E86">
            <v>2</v>
          </cell>
          <cell r="F86">
            <v>9</v>
          </cell>
          <cell r="G86">
            <v>11</v>
          </cell>
          <cell r="H86">
            <v>0</v>
          </cell>
          <cell r="I86">
            <v>22</v>
          </cell>
          <cell r="J86">
            <v>9</v>
          </cell>
          <cell r="K86">
            <v>13</v>
          </cell>
          <cell r="L86">
            <v>0</v>
          </cell>
          <cell r="M86">
            <v>22</v>
          </cell>
          <cell r="N86">
            <v>5.4</v>
          </cell>
          <cell r="O86">
            <v>37227.7</v>
          </cell>
          <cell r="P86">
            <v>61.8</v>
          </cell>
        </row>
        <row r="87">
          <cell r="A87">
            <v>22.001</v>
          </cell>
          <cell r="C87" t="str">
            <v>FRACTURES &amp; DISLOCATIONS EXCEPT FEMUR, PELVIS &amp; BACK                              </v>
          </cell>
          <cell r="D87">
            <v>1</v>
          </cell>
          <cell r="E87">
            <v>0</v>
          </cell>
          <cell r="F87">
            <v>4</v>
          </cell>
          <cell r="G87">
            <v>17</v>
          </cell>
          <cell r="H87">
            <v>0</v>
          </cell>
          <cell r="I87">
            <v>22</v>
          </cell>
          <cell r="J87">
            <v>3</v>
          </cell>
          <cell r="K87">
            <v>19</v>
          </cell>
          <cell r="L87">
            <v>0</v>
          </cell>
          <cell r="M87">
            <v>22</v>
          </cell>
          <cell r="N87">
            <v>5</v>
          </cell>
          <cell r="O87">
            <v>24715.9</v>
          </cell>
          <cell r="P87">
            <v>69.4</v>
          </cell>
        </row>
        <row r="88">
          <cell r="A88">
            <v>22</v>
          </cell>
          <cell r="C88" t="str">
            <v>OTHER SMALL &amp; LARGE BOWEL PROCEDURES                                              </v>
          </cell>
          <cell r="D88">
            <v>0</v>
          </cell>
          <cell r="E88">
            <v>3</v>
          </cell>
          <cell r="F88">
            <v>6</v>
          </cell>
          <cell r="G88">
            <v>13</v>
          </cell>
          <cell r="H88">
            <v>0</v>
          </cell>
          <cell r="I88">
            <v>22</v>
          </cell>
          <cell r="J88">
            <v>14</v>
          </cell>
          <cell r="K88">
            <v>8</v>
          </cell>
          <cell r="L88">
            <v>0</v>
          </cell>
          <cell r="M88">
            <v>22</v>
          </cell>
          <cell r="N88">
            <v>8.3</v>
          </cell>
          <cell r="O88">
            <v>60024.2</v>
          </cell>
          <cell r="P88">
            <v>62.6</v>
          </cell>
        </row>
        <row r="89">
          <cell r="A89">
            <v>21.001</v>
          </cell>
          <cell r="C89" t="str">
            <v>O.R. PROCEDURE FOR OTHER COMPLICATIONS OF TREATMENT                               </v>
          </cell>
          <cell r="D89">
            <v>0</v>
          </cell>
          <cell r="E89">
            <v>4</v>
          </cell>
          <cell r="F89">
            <v>9</v>
          </cell>
          <cell r="G89">
            <v>8</v>
          </cell>
          <cell r="H89">
            <v>0</v>
          </cell>
          <cell r="I89">
            <v>21</v>
          </cell>
          <cell r="J89">
            <v>9</v>
          </cell>
          <cell r="K89">
            <v>12</v>
          </cell>
          <cell r="L89">
            <v>0</v>
          </cell>
          <cell r="M89">
            <v>21</v>
          </cell>
          <cell r="N89">
            <v>7.3</v>
          </cell>
          <cell r="O89">
            <v>59397.33</v>
          </cell>
          <cell r="P89">
            <v>59.8</v>
          </cell>
        </row>
        <row r="90">
          <cell r="A90">
            <v>21.001</v>
          </cell>
          <cell r="C90" t="str">
            <v>INFECTIOUS &amp; PARASITIC DISEASES INCLUDING HIV W O.R. PROCEDURE                    </v>
          </cell>
          <cell r="D90">
            <v>0</v>
          </cell>
          <cell r="E90">
            <v>2</v>
          </cell>
          <cell r="F90">
            <v>10</v>
          </cell>
          <cell r="G90">
            <v>9</v>
          </cell>
          <cell r="H90">
            <v>0</v>
          </cell>
          <cell r="I90">
            <v>21</v>
          </cell>
          <cell r="J90">
            <v>9</v>
          </cell>
          <cell r="K90">
            <v>12</v>
          </cell>
          <cell r="L90">
            <v>0</v>
          </cell>
          <cell r="M90">
            <v>21</v>
          </cell>
          <cell r="N90">
            <v>14</v>
          </cell>
          <cell r="O90">
            <v>138588.11</v>
          </cell>
          <cell r="P90">
            <v>64.6</v>
          </cell>
        </row>
        <row r="91">
          <cell r="A91">
            <v>21.4</v>
          </cell>
          <cell r="C91" t="str">
            <v>CHEMOTHERAPY                                                                      </v>
          </cell>
          <cell r="D91">
            <v>0</v>
          </cell>
          <cell r="E91">
            <v>0</v>
          </cell>
          <cell r="F91">
            <v>8</v>
          </cell>
          <cell r="G91">
            <v>13</v>
          </cell>
          <cell r="H91">
            <v>0</v>
          </cell>
          <cell r="I91">
            <v>21</v>
          </cell>
          <cell r="J91">
            <v>3</v>
          </cell>
          <cell r="K91">
            <v>18</v>
          </cell>
          <cell r="L91">
            <v>0</v>
          </cell>
          <cell r="M91">
            <v>21</v>
          </cell>
          <cell r="N91">
            <v>4.8</v>
          </cell>
          <cell r="O91">
            <v>42139.16</v>
          </cell>
          <cell r="P91">
            <v>63.3</v>
          </cell>
        </row>
        <row r="92">
          <cell r="A92">
            <v>21.001</v>
          </cell>
          <cell r="C92" t="str">
            <v>OTHER ANTEPARTUM DIAGNOSES                                                        </v>
          </cell>
          <cell r="D92">
            <v>0</v>
          </cell>
          <cell r="E92">
            <v>21</v>
          </cell>
          <cell r="F92">
            <v>0</v>
          </cell>
          <cell r="G92">
            <v>0</v>
          </cell>
          <cell r="H92">
            <v>0</v>
          </cell>
          <cell r="I92">
            <v>21</v>
          </cell>
          <cell r="J92">
            <v>0</v>
          </cell>
          <cell r="K92">
            <v>21</v>
          </cell>
          <cell r="L92">
            <v>0</v>
          </cell>
          <cell r="M92">
            <v>21</v>
          </cell>
          <cell r="N92">
            <v>1.2</v>
          </cell>
          <cell r="O92">
            <v>6031.52</v>
          </cell>
          <cell r="P92">
            <v>26.6</v>
          </cell>
        </row>
        <row r="93">
          <cell r="A93">
            <v>21.001</v>
          </cell>
          <cell r="C93" t="str">
            <v>UTERINE &amp; ADNEXA PROCEDURES FOR LEIOMYOMA                                         </v>
          </cell>
          <cell r="D93">
            <v>0</v>
          </cell>
          <cell r="E93">
            <v>7</v>
          </cell>
          <cell r="F93">
            <v>13</v>
          </cell>
          <cell r="G93">
            <v>1</v>
          </cell>
          <cell r="H93">
            <v>0</v>
          </cell>
          <cell r="I93">
            <v>21</v>
          </cell>
          <cell r="J93">
            <v>0</v>
          </cell>
          <cell r="K93">
            <v>21</v>
          </cell>
          <cell r="L93">
            <v>0</v>
          </cell>
          <cell r="M93">
            <v>21</v>
          </cell>
          <cell r="N93">
            <v>2</v>
          </cell>
          <cell r="O93">
            <v>18404.27</v>
          </cell>
          <cell r="P93">
            <v>47.1</v>
          </cell>
        </row>
        <row r="94">
          <cell r="A94">
            <v>21</v>
          </cell>
          <cell r="C94" t="str">
            <v>AMPUTATION OF LOWER LIMB EXCEPT TOES                                              </v>
          </cell>
          <cell r="D94">
            <v>0</v>
          </cell>
          <cell r="E94">
            <v>2</v>
          </cell>
          <cell r="F94">
            <v>9</v>
          </cell>
          <cell r="G94">
            <v>10</v>
          </cell>
          <cell r="H94">
            <v>0</v>
          </cell>
          <cell r="I94">
            <v>21</v>
          </cell>
          <cell r="J94">
            <v>16</v>
          </cell>
          <cell r="K94">
            <v>5</v>
          </cell>
          <cell r="L94">
            <v>0</v>
          </cell>
          <cell r="M94">
            <v>21</v>
          </cell>
          <cell r="N94">
            <v>15</v>
          </cell>
          <cell r="O94">
            <v>87591.3</v>
          </cell>
          <cell r="P94">
            <v>67.1</v>
          </cell>
        </row>
        <row r="95">
          <cell r="A95">
            <v>20</v>
          </cell>
          <cell r="C95" t="str">
            <v>NONSPECIFIC CVA &amp; PRECEREBRAL OCCLUSION W/O INFARCT                               </v>
          </cell>
          <cell r="D95">
            <v>0</v>
          </cell>
          <cell r="E95">
            <v>2</v>
          </cell>
          <cell r="F95">
            <v>2</v>
          </cell>
          <cell r="G95">
            <v>16</v>
          </cell>
          <cell r="H95">
            <v>0</v>
          </cell>
          <cell r="I95">
            <v>20</v>
          </cell>
          <cell r="J95">
            <v>6</v>
          </cell>
          <cell r="K95">
            <v>14</v>
          </cell>
          <cell r="L95">
            <v>0</v>
          </cell>
          <cell r="M95">
            <v>20</v>
          </cell>
          <cell r="N95">
            <v>3.2</v>
          </cell>
          <cell r="O95">
            <v>22577.68</v>
          </cell>
          <cell r="P95">
            <v>70.6</v>
          </cell>
        </row>
        <row r="96">
          <cell r="A96">
            <v>19.001</v>
          </cell>
          <cell r="C96" t="str">
            <v>KIDNEY &amp; URINARY TRACT PROCEDURES FOR MALIGNANCY                                  </v>
          </cell>
          <cell r="D96">
            <v>0</v>
          </cell>
          <cell r="E96">
            <v>2</v>
          </cell>
          <cell r="F96">
            <v>5</v>
          </cell>
          <cell r="G96">
            <v>12</v>
          </cell>
          <cell r="H96">
            <v>0</v>
          </cell>
          <cell r="I96">
            <v>19</v>
          </cell>
          <cell r="J96">
            <v>13</v>
          </cell>
          <cell r="K96">
            <v>6</v>
          </cell>
          <cell r="L96">
            <v>0</v>
          </cell>
          <cell r="M96">
            <v>19</v>
          </cell>
          <cell r="N96">
            <v>3.6</v>
          </cell>
          <cell r="O96">
            <v>36760.26</v>
          </cell>
          <cell r="P96">
            <v>64.9</v>
          </cell>
        </row>
        <row r="97">
          <cell r="A97">
            <v>19.001</v>
          </cell>
          <cell r="C97" t="str">
            <v>FRACTURE OF PELVIS OR DISLOCATION OF HIP                                          </v>
          </cell>
          <cell r="D97">
            <v>0</v>
          </cell>
          <cell r="E97">
            <v>1</v>
          </cell>
          <cell r="F97">
            <v>1</v>
          </cell>
          <cell r="G97">
            <v>17</v>
          </cell>
          <cell r="H97">
            <v>0</v>
          </cell>
          <cell r="I97">
            <v>19</v>
          </cell>
          <cell r="J97">
            <v>2</v>
          </cell>
          <cell r="K97">
            <v>17</v>
          </cell>
          <cell r="L97">
            <v>0</v>
          </cell>
          <cell r="M97">
            <v>19</v>
          </cell>
          <cell r="N97">
            <v>3.5</v>
          </cell>
          <cell r="O97">
            <v>15952.13</v>
          </cell>
          <cell r="P97">
            <v>77.9</v>
          </cell>
        </row>
        <row r="98">
          <cell r="A98">
            <v>19.001</v>
          </cell>
          <cell r="C98" t="str">
            <v>DIGESTIVE MALIGNANCY                                                              </v>
          </cell>
          <cell r="D98">
            <v>0</v>
          </cell>
          <cell r="E98">
            <v>0</v>
          </cell>
          <cell r="F98">
            <v>10</v>
          </cell>
          <cell r="G98">
            <v>9</v>
          </cell>
          <cell r="H98">
            <v>0</v>
          </cell>
          <cell r="I98">
            <v>19</v>
          </cell>
          <cell r="J98">
            <v>8</v>
          </cell>
          <cell r="K98">
            <v>11</v>
          </cell>
          <cell r="L98">
            <v>0</v>
          </cell>
          <cell r="M98">
            <v>19</v>
          </cell>
          <cell r="N98">
            <v>6.2</v>
          </cell>
          <cell r="O98">
            <v>41293.35</v>
          </cell>
          <cell r="P98">
            <v>64.8</v>
          </cell>
        </row>
        <row r="99">
          <cell r="A99">
            <v>19</v>
          </cell>
          <cell r="C99" t="str">
            <v>OTHER DISORDERS OF NERVOUS SYSTEM                                                 </v>
          </cell>
          <cell r="D99">
            <v>0</v>
          </cell>
          <cell r="E99">
            <v>0</v>
          </cell>
          <cell r="F99">
            <v>4</v>
          </cell>
          <cell r="G99">
            <v>15</v>
          </cell>
          <cell r="H99">
            <v>0</v>
          </cell>
          <cell r="I99">
            <v>19</v>
          </cell>
          <cell r="J99">
            <v>5</v>
          </cell>
          <cell r="K99">
            <v>14</v>
          </cell>
          <cell r="L99">
            <v>0</v>
          </cell>
          <cell r="M99">
            <v>19</v>
          </cell>
          <cell r="N99">
            <v>5.8</v>
          </cell>
          <cell r="O99">
            <v>25956.16</v>
          </cell>
          <cell r="P99">
            <v>73.9</v>
          </cell>
        </row>
        <row r="100">
          <cell r="A100">
            <v>18.001</v>
          </cell>
          <cell r="C100" t="str">
            <v>OTHER SKIN, SUBCUTANEOUS TISSUE &amp; RELATED PROCEDURES                              </v>
          </cell>
          <cell r="D100">
            <v>0</v>
          </cell>
          <cell r="E100">
            <v>4</v>
          </cell>
          <cell r="F100">
            <v>4</v>
          </cell>
          <cell r="G100">
            <v>10</v>
          </cell>
          <cell r="H100">
            <v>0</v>
          </cell>
          <cell r="I100">
            <v>18</v>
          </cell>
          <cell r="J100">
            <v>12</v>
          </cell>
          <cell r="K100">
            <v>6</v>
          </cell>
          <cell r="L100">
            <v>0</v>
          </cell>
          <cell r="M100">
            <v>18</v>
          </cell>
          <cell r="N100">
            <v>8.1</v>
          </cell>
          <cell r="O100">
            <v>46372.85</v>
          </cell>
          <cell r="P100">
            <v>64.7</v>
          </cell>
        </row>
        <row r="101">
          <cell r="A101">
            <v>18.001</v>
          </cell>
          <cell r="C101" t="str">
            <v>CARDIAC DEFIBRILLATOR &amp; HEART ASSIST IMPLANT                                      </v>
          </cell>
          <cell r="D101">
            <v>0</v>
          </cell>
          <cell r="E101">
            <v>0</v>
          </cell>
          <cell r="F101">
            <v>7</v>
          </cell>
          <cell r="G101">
            <v>11</v>
          </cell>
          <cell r="H101">
            <v>0</v>
          </cell>
          <cell r="I101">
            <v>18</v>
          </cell>
          <cell r="J101">
            <v>15</v>
          </cell>
          <cell r="K101">
            <v>3</v>
          </cell>
          <cell r="L101">
            <v>0</v>
          </cell>
          <cell r="M101">
            <v>18</v>
          </cell>
          <cell r="N101">
            <v>4.9</v>
          </cell>
          <cell r="O101">
            <v>83591.98</v>
          </cell>
          <cell r="P101">
            <v>70</v>
          </cell>
        </row>
        <row r="102">
          <cell r="A102">
            <v>18</v>
          </cell>
          <cell r="C102" t="str">
            <v>RESPIRATORY SYSTEM DIAGNOSIS W VENTILATOR SUPPORT 96+ HOURS                       </v>
          </cell>
          <cell r="D102">
            <v>0</v>
          </cell>
          <cell r="E102">
            <v>1</v>
          </cell>
          <cell r="F102">
            <v>5</v>
          </cell>
          <cell r="G102">
            <v>12</v>
          </cell>
          <cell r="H102">
            <v>0</v>
          </cell>
          <cell r="I102">
            <v>18</v>
          </cell>
          <cell r="J102">
            <v>13</v>
          </cell>
          <cell r="K102">
            <v>5</v>
          </cell>
          <cell r="L102">
            <v>0</v>
          </cell>
          <cell r="M102">
            <v>18</v>
          </cell>
          <cell r="N102">
            <v>14.1</v>
          </cell>
          <cell r="O102">
            <v>155832.68</v>
          </cell>
          <cell r="P102">
            <v>69.1</v>
          </cell>
        </row>
        <row r="103">
          <cell r="A103">
            <v>17.001</v>
          </cell>
          <cell r="C103" t="str">
            <v>NEONATE BWT 2000-2499G, NORMAL NEWBORN OR NEONATE W OTHER PROBLEM                 </v>
          </cell>
          <cell r="D103">
            <v>17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17</v>
          </cell>
          <cell r="J103">
            <v>9</v>
          </cell>
          <cell r="K103">
            <v>8</v>
          </cell>
          <cell r="L103">
            <v>0</v>
          </cell>
          <cell r="M103">
            <v>17</v>
          </cell>
          <cell r="N103">
            <v>2.6</v>
          </cell>
          <cell r="O103">
            <v>5306.23</v>
          </cell>
          <cell r="P103">
            <v>0</v>
          </cell>
        </row>
        <row r="104">
          <cell r="A104">
            <v>17.001</v>
          </cell>
          <cell r="C104" t="str">
            <v>CHOLECYSTECTOMY EXCEPT LAPAROSCOPIC                                               </v>
          </cell>
          <cell r="D104">
            <v>0</v>
          </cell>
          <cell r="E104">
            <v>2</v>
          </cell>
          <cell r="F104">
            <v>7</v>
          </cell>
          <cell r="G104">
            <v>8</v>
          </cell>
          <cell r="H104">
            <v>0</v>
          </cell>
          <cell r="I104">
            <v>17</v>
          </cell>
          <cell r="J104">
            <v>5</v>
          </cell>
          <cell r="K104">
            <v>12</v>
          </cell>
          <cell r="L104">
            <v>0</v>
          </cell>
          <cell r="M104">
            <v>17</v>
          </cell>
          <cell r="N104">
            <v>6.9</v>
          </cell>
          <cell r="O104">
            <v>53780.89</v>
          </cell>
          <cell r="P104">
            <v>64.1</v>
          </cell>
        </row>
        <row r="105">
          <cell r="A105">
            <v>17.001</v>
          </cell>
          <cell r="C105" t="str">
            <v>HYPERTENSION                                                                      </v>
          </cell>
          <cell r="D105">
            <v>0</v>
          </cell>
          <cell r="E105">
            <v>3</v>
          </cell>
          <cell r="F105">
            <v>8</v>
          </cell>
          <cell r="G105">
            <v>6</v>
          </cell>
          <cell r="H105">
            <v>0</v>
          </cell>
          <cell r="I105">
            <v>17</v>
          </cell>
          <cell r="J105">
            <v>10</v>
          </cell>
          <cell r="K105">
            <v>7</v>
          </cell>
          <cell r="L105">
            <v>0</v>
          </cell>
          <cell r="M105">
            <v>17</v>
          </cell>
          <cell r="N105">
            <v>2.2</v>
          </cell>
          <cell r="O105">
            <v>14215.42</v>
          </cell>
          <cell r="P105">
            <v>64.4</v>
          </cell>
        </row>
        <row r="106">
          <cell r="A106">
            <v>17</v>
          </cell>
          <cell r="C106" t="str">
            <v>PERIPHERAL, CRANIAL &amp; AUTONOMIC NERVE DISORDERS                                   </v>
          </cell>
          <cell r="D106">
            <v>0</v>
          </cell>
          <cell r="E106">
            <v>3</v>
          </cell>
          <cell r="F106">
            <v>7</v>
          </cell>
          <cell r="G106">
            <v>7</v>
          </cell>
          <cell r="H106">
            <v>0</v>
          </cell>
          <cell r="I106">
            <v>17</v>
          </cell>
          <cell r="J106">
            <v>7</v>
          </cell>
          <cell r="K106">
            <v>10</v>
          </cell>
          <cell r="L106">
            <v>0</v>
          </cell>
          <cell r="M106">
            <v>17</v>
          </cell>
          <cell r="N106">
            <v>3.1</v>
          </cell>
          <cell r="O106">
            <v>19538.31</v>
          </cell>
          <cell r="P106">
            <v>60.6</v>
          </cell>
        </row>
        <row r="107">
          <cell r="A107">
            <v>16</v>
          </cell>
          <cell r="C107" t="str">
            <v>INFLAMMATORY BOWEL DISEASE                                                        </v>
          </cell>
          <cell r="D107">
            <v>0</v>
          </cell>
          <cell r="E107">
            <v>9</v>
          </cell>
          <cell r="F107">
            <v>2</v>
          </cell>
          <cell r="G107">
            <v>5</v>
          </cell>
          <cell r="H107">
            <v>0</v>
          </cell>
          <cell r="I107">
            <v>16</v>
          </cell>
          <cell r="J107">
            <v>5</v>
          </cell>
          <cell r="K107">
            <v>11</v>
          </cell>
          <cell r="L107">
            <v>0</v>
          </cell>
          <cell r="M107">
            <v>16</v>
          </cell>
          <cell r="N107">
            <v>5.9</v>
          </cell>
          <cell r="O107">
            <v>28331.28</v>
          </cell>
          <cell r="P107">
            <v>46.7</v>
          </cell>
        </row>
        <row r="108">
          <cell r="A108">
            <v>15.001</v>
          </cell>
          <cell r="C108" t="str">
            <v>OTHER KIDNEY &amp; URINARY TRACT DIAGNOSES, SIGNS &amp; SYMPTOMS                          </v>
          </cell>
          <cell r="D108">
            <v>0</v>
          </cell>
          <cell r="E108">
            <v>0</v>
          </cell>
          <cell r="F108">
            <v>5</v>
          </cell>
          <cell r="G108">
            <v>10</v>
          </cell>
          <cell r="H108">
            <v>0</v>
          </cell>
          <cell r="I108">
            <v>15</v>
          </cell>
          <cell r="J108">
            <v>5</v>
          </cell>
          <cell r="K108">
            <v>10</v>
          </cell>
          <cell r="L108">
            <v>0</v>
          </cell>
          <cell r="M108">
            <v>15</v>
          </cell>
          <cell r="N108">
            <v>4.1</v>
          </cell>
          <cell r="O108">
            <v>26825.42</v>
          </cell>
          <cell r="P108">
            <v>69.9</v>
          </cell>
        </row>
        <row r="109">
          <cell r="A109">
            <v>15.001</v>
          </cell>
          <cell r="C109" t="str">
            <v>CONTUSION, OPEN WOUND &amp; OTHER TRAUMA TO SKIN &amp; SUBCUTANEOUS TISSUE                </v>
          </cell>
          <cell r="D109">
            <v>0</v>
          </cell>
          <cell r="E109">
            <v>2</v>
          </cell>
          <cell r="F109">
            <v>2</v>
          </cell>
          <cell r="G109">
            <v>11</v>
          </cell>
          <cell r="H109">
            <v>0</v>
          </cell>
          <cell r="I109">
            <v>15</v>
          </cell>
          <cell r="J109">
            <v>7</v>
          </cell>
          <cell r="K109">
            <v>8</v>
          </cell>
          <cell r="L109">
            <v>0</v>
          </cell>
          <cell r="M109">
            <v>15</v>
          </cell>
          <cell r="N109">
            <v>2.1</v>
          </cell>
          <cell r="O109">
            <v>14012.42</v>
          </cell>
          <cell r="P109">
            <v>68.7</v>
          </cell>
        </row>
        <row r="110">
          <cell r="A110">
            <v>15.001</v>
          </cell>
          <cell r="C110" t="str">
            <v>HIP &amp; FEMUR PROCEDURES FOR NON-TRAUMA EXCEPT JOINT REPLACEMENT                    </v>
          </cell>
          <cell r="D110">
            <v>0</v>
          </cell>
          <cell r="E110">
            <v>1</v>
          </cell>
          <cell r="F110">
            <v>6</v>
          </cell>
          <cell r="G110">
            <v>8</v>
          </cell>
          <cell r="H110">
            <v>0</v>
          </cell>
          <cell r="I110">
            <v>15</v>
          </cell>
          <cell r="J110">
            <v>5</v>
          </cell>
          <cell r="K110">
            <v>10</v>
          </cell>
          <cell r="L110">
            <v>0</v>
          </cell>
          <cell r="M110">
            <v>15</v>
          </cell>
          <cell r="N110">
            <v>6</v>
          </cell>
          <cell r="O110">
            <v>41437.97</v>
          </cell>
          <cell r="P110">
            <v>66.9</v>
          </cell>
        </row>
        <row r="111">
          <cell r="A111">
            <v>15</v>
          </cell>
          <cell r="C111" t="str">
            <v>MALIGNANCY OF HEPATOBILIARY SYSTEM &amp; PANCREAS                                     </v>
          </cell>
          <cell r="D111">
            <v>0</v>
          </cell>
          <cell r="E111">
            <v>0</v>
          </cell>
          <cell r="F111">
            <v>4</v>
          </cell>
          <cell r="G111">
            <v>11</v>
          </cell>
          <cell r="H111">
            <v>0</v>
          </cell>
          <cell r="I111">
            <v>15</v>
          </cell>
          <cell r="J111">
            <v>6</v>
          </cell>
          <cell r="K111">
            <v>9</v>
          </cell>
          <cell r="L111">
            <v>0</v>
          </cell>
          <cell r="M111">
            <v>15</v>
          </cell>
          <cell r="N111">
            <v>5.9</v>
          </cell>
          <cell r="O111">
            <v>39669.04</v>
          </cell>
          <cell r="P111">
            <v>72.4</v>
          </cell>
        </row>
        <row r="112">
          <cell r="A112">
            <v>14.001</v>
          </cell>
          <cell r="C112" t="str">
            <v>NONEXTENSIVE PROCEDURE UNRELATED TO PRINCIPAL DIAGNOSIS                           </v>
          </cell>
          <cell r="D112">
            <v>0</v>
          </cell>
          <cell r="E112">
            <v>2</v>
          </cell>
          <cell r="F112">
            <v>2</v>
          </cell>
          <cell r="G112">
            <v>10</v>
          </cell>
          <cell r="H112">
            <v>0</v>
          </cell>
          <cell r="I112">
            <v>14</v>
          </cell>
          <cell r="J112">
            <v>6</v>
          </cell>
          <cell r="K112">
            <v>8</v>
          </cell>
          <cell r="L112">
            <v>0</v>
          </cell>
          <cell r="M112">
            <v>14</v>
          </cell>
          <cell r="N112">
            <v>8.9</v>
          </cell>
          <cell r="O112">
            <v>56210.96</v>
          </cell>
          <cell r="P112">
            <v>70.4</v>
          </cell>
        </row>
        <row r="113">
          <cell r="A113">
            <v>14.001</v>
          </cell>
          <cell r="C113" t="str">
            <v>MALFUNCTION, REACTION, COMPLIC OF GENITOURINARY DEVICE OR PROC                    </v>
          </cell>
          <cell r="D113">
            <v>0</v>
          </cell>
          <cell r="E113">
            <v>0</v>
          </cell>
          <cell r="F113">
            <v>5</v>
          </cell>
          <cell r="G113">
            <v>9</v>
          </cell>
          <cell r="H113">
            <v>0</v>
          </cell>
          <cell r="I113">
            <v>14</v>
          </cell>
          <cell r="J113">
            <v>8</v>
          </cell>
          <cell r="K113">
            <v>6</v>
          </cell>
          <cell r="L113">
            <v>0</v>
          </cell>
          <cell r="M113">
            <v>14</v>
          </cell>
          <cell r="N113">
            <v>5.4</v>
          </cell>
          <cell r="O113">
            <v>35033.29</v>
          </cell>
          <cell r="P113">
            <v>68.8</v>
          </cell>
        </row>
        <row r="114">
          <cell r="A114">
            <v>14</v>
          </cell>
          <cell r="C114" t="str">
            <v>MAJOR RESPIRATORY &amp; CHEST PROCEDURES                                              </v>
          </cell>
          <cell r="D114">
            <v>0</v>
          </cell>
          <cell r="E114">
            <v>1</v>
          </cell>
          <cell r="F114">
            <v>3</v>
          </cell>
          <cell r="G114">
            <v>10</v>
          </cell>
          <cell r="H114">
            <v>0</v>
          </cell>
          <cell r="I114">
            <v>14</v>
          </cell>
          <cell r="J114">
            <v>5</v>
          </cell>
          <cell r="K114">
            <v>9</v>
          </cell>
          <cell r="L114">
            <v>0</v>
          </cell>
          <cell r="M114">
            <v>14</v>
          </cell>
          <cell r="N114">
            <v>8.4</v>
          </cell>
          <cell r="O114">
            <v>78977.68</v>
          </cell>
          <cell r="P114">
            <v>70.1</v>
          </cell>
        </row>
        <row r="115">
          <cell r="A115">
            <v>13.001</v>
          </cell>
          <cell r="C115" t="str">
            <v>OTHER ENDOCRINE DISORDERS                                                         </v>
          </cell>
          <cell r="D115">
            <v>0</v>
          </cell>
          <cell r="E115">
            <v>1</v>
          </cell>
          <cell r="F115">
            <v>3</v>
          </cell>
          <cell r="G115">
            <v>9</v>
          </cell>
          <cell r="H115">
            <v>0</v>
          </cell>
          <cell r="I115">
            <v>13</v>
          </cell>
          <cell r="J115">
            <v>4</v>
          </cell>
          <cell r="K115">
            <v>9</v>
          </cell>
          <cell r="L115">
            <v>0</v>
          </cell>
          <cell r="M115">
            <v>13</v>
          </cell>
          <cell r="N115">
            <v>4</v>
          </cell>
          <cell r="O115">
            <v>27100.27</v>
          </cell>
          <cell r="P115">
            <v>63.9</v>
          </cell>
        </row>
        <row r="116">
          <cell r="A116">
            <v>13.001</v>
          </cell>
          <cell r="C116" t="str">
            <v>TENDON, MUSCLE &amp; OTHER SOFT TISSUE PROCEDURES                                     </v>
          </cell>
          <cell r="D116">
            <v>0</v>
          </cell>
          <cell r="E116">
            <v>2</v>
          </cell>
          <cell r="F116">
            <v>9</v>
          </cell>
          <cell r="G116">
            <v>2</v>
          </cell>
          <cell r="H116">
            <v>0</v>
          </cell>
          <cell r="I116">
            <v>13</v>
          </cell>
          <cell r="J116">
            <v>9</v>
          </cell>
          <cell r="K116">
            <v>4</v>
          </cell>
          <cell r="L116">
            <v>0</v>
          </cell>
          <cell r="M116">
            <v>13</v>
          </cell>
          <cell r="N116">
            <v>4.6</v>
          </cell>
          <cell r="O116">
            <v>31399.68</v>
          </cell>
          <cell r="P116">
            <v>52.5</v>
          </cell>
        </row>
        <row r="117">
          <cell r="A117">
            <v>13</v>
          </cell>
          <cell r="C117" t="str">
            <v>OTHER CIRCULATORY SYSTEM PROCEDURES                                               </v>
          </cell>
          <cell r="D117">
            <v>0</v>
          </cell>
          <cell r="E117">
            <v>1</v>
          </cell>
          <cell r="F117">
            <v>6</v>
          </cell>
          <cell r="G117">
            <v>6</v>
          </cell>
          <cell r="H117">
            <v>0</v>
          </cell>
          <cell r="I117">
            <v>13</v>
          </cell>
          <cell r="J117">
            <v>4</v>
          </cell>
          <cell r="K117">
            <v>9</v>
          </cell>
          <cell r="L117">
            <v>0</v>
          </cell>
          <cell r="M117">
            <v>13</v>
          </cell>
          <cell r="N117">
            <v>6.2</v>
          </cell>
          <cell r="O117">
            <v>67653.02</v>
          </cell>
          <cell r="P117">
            <v>66.5</v>
          </cell>
        </row>
        <row r="118">
          <cell r="A118">
            <v>12.001</v>
          </cell>
          <cell r="C118" t="str">
            <v>MODERATELY EXTENSIVE PROCEDURE UNRELATED TO PRINCIPAL DIAGNOSIS                   </v>
          </cell>
          <cell r="D118">
            <v>0</v>
          </cell>
          <cell r="E118">
            <v>2</v>
          </cell>
          <cell r="F118">
            <v>3</v>
          </cell>
          <cell r="G118">
            <v>7</v>
          </cell>
          <cell r="H118">
            <v>0</v>
          </cell>
          <cell r="I118">
            <v>12</v>
          </cell>
          <cell r="J118">
            <v>5</v>
          </cell>
          <cell r="K118">
            <v>7</v>
          </cell>
          <cell r="L118">
            <v>0</v>
          </cell>
          <cell r="M118">
            <v>12</v>
          </cell>
          <cell r="N118">
            <v>16</v>
          </cell>
          <cell r="O118">
            <v>104698.56</v>
          </cell>
          <cell r="P118">
            <v>64.3</v>
          </cell>
        </row>
        <row r="119">
          <cell r="A119">
            <v>12.001</v>
          </cell>
          <cell r="C119" t="str">
            <v>TOXIC EFFECTS OF NON-MEDICINAL SUBSTANCES                                         </v>
          </cell>
          <cell r="D119">
            <v>0</v>
          </cell>
          <cell r="E119">
            <v>7</v>
          </cell>
          <cell r="F119">
            <v>5</v>
          </cell>
          <cell r="G119">
            <v>0</v>
          </cell>
          <cell r="H119">
            <v>0</v>
          </cell>
          <cell r="I119">
            <v>12</v>
          </cell>
          <cell r="J119">
            <v>6</v>
          </cell>
          <cell r="K119">
            <v>6</v>
          </cell>
          <cell r="L119">
            <v>0</v>
          </cell>
          <cell r="M119">
            <v>12</v>
          </cell>
          <cell r="N119">
            <v>2.7</v>
          </cell>
          <cell r="O119">
            <v>28921.82</v>
          </cell>
          <cell r="P119">
            <v>44.5</v>
          </cell>
        </row>
        <row r="120">
          <cell r="A120">
            <v>12.001</v>
          </cell>
          <cell r="C120" t="str">
            <v>FEVER                                                                             </v>
          </cell>
          <cell r="D120">
            <v>2</v>
          </cell>
          <cell r="E120">
            <v>1</v>
          </cell>
          <cell r="F120">
            <v>5</v>
          </cell>
          <cell r="G120">
            <v>4</v>
          </cell>
          <cell r="H120">
            <v>0</v>
          </cell>
          <cell r="I120">
            <v>12</v>
          </cell>
          <cell r="J120">
            <v>10</v>
          </cell>
          <cell r="K120">
            <v>2</v>
          </cell>
          <cell r="L120">
            <v>0</v>
          </cell>
          <cell r="M120">
            <v>12</v>
          </cell>
          <cell r="N120">
            <v>2.9</v>
          </cell>
          <cell r="O120">
            <v>15861.2</v>
          </cell>
          <cell r="P120">
            <v>52.5</v>
          </cell>
        </row>
        <row r="121">
          <cell r="A121">
            <v>12.001</v>
          </cell>
          <cell r="C121" t="str">
            <v>POST-OP, POST-TRAUMA, OTHER DEVICE INFECTIONS W O.R. PROCEDURE                    </v>
          </cell>
          <cell r="D121">
            <v>0</v>
          </cell>
          <cell r="E121">
            <v>2</v>
          </cell>
          <cell r="F121">
            <v>4</v>
          </cell>
          <cell r="G121">
            <v>6</v>
          </cell>
          <cell r="H121">
            <v>0</v>
          </cell>
          <cell r="I121">
            <v>12</v>
          </cell>
          <cell r="J121">
            <v>4</v>
          </cell>
          <cell r="K121">
            <v>8</v>
          </cell>
          <cell r="L121">
            <v>0</v>
          </cell>
          <cell r="M121">
            <v>12</v>
          </cell>
          <cell r="N121">
            <v>7.9</v>
          </cell>
          <cell r="O121">
            <v>61618.12</v>
          </cell>
          <cell r="P121">
            <v>61.8</v>
          </cell>
        </row>
        <row r="122">
          <cell r="A122">
            <v>12.001</v>
          </cell>
          <cell r="C122" t="str">
            <v>MALE REPRODUCTIVE SYSTEM DIAGNOSES EXCEPT MALIGNANCY                              </v>
          </cell>
          <cell r="D122">
            <v>0</v>
          </cell>
          <cell r="E122">
            <v>2</v>
          </cell>
          <cell r="F122">
            <v>3</v>
          </cell>
          <cell r="G122">
            <v>7</v>
          </cell>
          <cell r="H122">
            <v>0</v>
          </cell>
          <cell r="I122">
            <v>12</v>
          </cell>
          <cell r="J122">
            <v>12</v>
          </cell>
          <cell r="K122">
            <v>0</v>
          </cell>
          <cell r="L122">
            <v>0</v>
          </cell>
          <cell r="M122">
            <v>12</v>
          </cell>
          <cell r="N122">
            <v>4.8</v>
          </cell>
          <cell r="O122">
            <v>25079.72</v>
          </cell>
          <cell r="P122">
            <v>64.6</v>
          </cell>
        </row>
        <row r="123">
          <cell r="A123">
            <v>12.001</v>
          </cell>
          <cell r="C123" t="str">
            <v>OTHER DISORDERS OF THE LIVER                                                      </v>
          </cell>
          <cell r="D123">
            <v>0</v>
          </cell>
          <cell r="E123">
            <v>0</v>
          </cell>
          <cell r="F123">
            <v>9</v>
          </cell>
          <cell r="G123">
            <v>3</v>
          </cell>
          <cell r="H123">
            <v>0</v>
          </cell>
          <cell r="I123">
            <v>12</v>
          </cell>
          <cell r="J123">
            <v>5</v>
          </cell>
          <cell r="K123">
            <v>7</v>
          </cell>
          <cell r="L123">
            <v>0</v>
          </cell>
          <cell r="M123">
            <v>12</v>
          </cell>
          <cell r="N123">
            <v>4.8</v>
          </cell>
          <cell r="O123">
            <v>33535.67</v>
          </cell>
          <cell r="P123">
            <v>60.9</v>
          </cell>
        </row>
        <row r="124">
          <cell r="A124">
            <v>12.001</v>
          </cell>
          <cell r="C124" t="str">
            <v>ALCOHOLIC LIVER DISEASE                                                           </v>
          </cell>
          <cell r="D124">
            <v>0</v>
          </cell>
          <cell r="E124">
            <v>2</v>
          </cell>
          <cell r="F124">
            <v>6</v>
          </cell>
          <cell r="G124">
            <v>4</v>
          </cell>
          <cell r="H124">
            <v>0</v>
          </cell>
          <cell r="I124">
            <v>12</v>
          </cell>
          <cell r="J124">
            <v>10</v>
          </cell>
          <cell r="K124">
            <v>2</v>
          </cell>
          <cell r="L124">
            <v>0</v>
          </cell>
          <cell r="M124">
            <v>12</v>
          </cell>
          <cell r="N124">
            <v>4.9</v>
          </cell>
          <cell r="O124">
            <v>33521.73</v>
          </cell>
          <cell r="P124">
            <v>56</v>
          </cell>
        </row>
        <row r="125">
          <cell r="A125">
            <v>12.001</v>
          </cell>
          <cell r="C125" t="str">
            <v>MAJOR STOMACH, ESOPHAGEAL &amp; DUODENAL PROCEDURES                                   </v>
          </cell>
          <cell r="D125">
            <v>0</v>
          </cell>
          <cell r="E125">
            <v>2</v>
          </cell>
          <cell r="F125">
            <v>5</v>
          </cell>
          <cell r="G125">
            <v>5</v>
          </cell>
          <cell r="H125">
            <v>0</v>
          </cell>
          <cell r="I125">
            <v>12</v>
          </cell>
          <cell r="J125">
            <v>7</v>
          </cell>
          <cell r="K125">
            <v>5</v>
          </cell>
          <cell r="L125">
            <v>0</v>
          </cell>
          <cell r="M125">
            <v>12</v>
          </cell>
          <cell r="N125">
            <v>7.9</v>
          </cell>
          <cell r="O125">
            <v>89523.16</v>
          </cell>
          <cell r="P125">
            <v>64</v>
          </cell>
        </row>
        <row r="126">
          <cell r="A126">
            <v>12</v>
          </cell>
          <cell r="C126" t="str">
            <v>ACUTE &amp; SUBACUTE ENDOCARDITIS                                                     </v>
          </cell>
          <cell r="D126">
            <v>0</v>
          </cell>
          <cell r="E126">
            <v>1</v>
          </cell>
          <cell r="F126">
            <v>1</v>
          </cell>
          <cell r="G126">
            <v>10</v>
          </cell>
          <cell r="H126">
            <v>0</v>
          </cell>
          <cell r="I126">
            <v>12</v>
          </cell>
          <cell r="J126">
            <v>6</v>
          </cell>
          <cell r="K126">
            <v>6</v>
          </cell>
          <cell r="L126">
            <v>0</v>
          </cell>
          <cell r="M126">
            <v>12</v>
          </cell>
          <cell r="N126">
            <v>7.9</v>
          </cell>
          <cell r="O126">
            <v>49314.43</v>
          </cell>
          <cell r="P126">
            <v>72.9</v>
          </cell>
        </row>
        <row r="127">
          <cell r="A127">
            <v>11.001</v>
          </cell>
          <cell r="C127" t="str">
            <v>FEMALE REPRODUCTIVE SYSTEM RECONSTRUCTIVE PROCEDURES                              </v>
          </cell>
          <cell r="D127">
            <v>0</v>
          </cell>
          <cell r="E127">
            <v>0</v>
          </cell>
          <cell r="F127">
            <v>4</v>
          </cell>
          <cell r="G127">
            <v>7</v>
          </cell>
          <cell r="H127">
            <v>0</v>
          </cell>
          <cell r="I127">
            <v>11</v>
          </cell>
          <cell r="J127">
            <v>0</v>
          </cell>
          <cell r="K127">
            <v>11</v>
          </cell>
          <cell r="L127">
            <v>0</v>
          </cell>
          <cell r="M127">
            <v>11</v>
          </cell>
          <cell r="N127">
            <v>3</v>
          </cell>
          <cell r="O127">
            <v>27290.25</v>
          </cell>
          <cell r="P127">
            <v>66.6</v>
          </cell>
        </row>
        <row r="128">
          <cell r="A128">
            <v>11.001</v>
          </cell>
          <cell r="C128" t="str">
            <v>MALFUNCTION, REACTION, COMPLIC OF ORTHOPEDIC DEVICE OR PROCEDURE                  </v>
          </cell>
          <cell r="D128">
            <v>0</v>
          </cell>
          <cell r="E128">
            <v>0</v>
          </cell>
          <cell r="F128">
            <v>5</v>
          </cell>
          <cell r="G128">
            <v>6</v>
          </cell>
          <cell r="H128">
            <v>0</v>
          </cell>
          <cell r="I128">
            <v>11</v>
          </cell>
          <cell r="J128">
            <v>4</v>
          </cell>
          <cell r="K128">
            <v>7</v>
          </cell>
          <cell r="L128">
            <v>0</v>
          </cell>
          <cell r="M128">
            <v>11</v>
          </cell>
          <cell r="N128">
            <v>4.3</v>
          </cell>
          <cell r="O128">
            <v>23531.54</v>
          </cell>
          <cell r="P128">
            <v>71.5</v>
          </cell>
        </row>
        <row r="129">
          <cell r="A129">
            <v>11.001</v>
          </cell>
          <cell r="C129" t="str">
            <v>CONNECTIVE TISSUE DISORDERS                                                       </v>
          </cell>
          <cell r="D129">
            <v>0</v>
          </cell>
          <cell r="E129">
            <v>3</v>
          </cell>
          <cell r="F129">
            <v>0</v>
          </cell>
          <cell r="G129">
            <v>8</v>
          </cell>
          <cell r="H129">
            <v>0</v>
          </cell>
          <cell r="I129">
            <v>11</v>
          </cell>
          <cell r="J129">
            <v>2</v>
          </cell>
          <cell r="K129">
            <v>9</v>
          </cell>
          <cell r="L129">
            <v>0</v>
          </cell>
          <cell r="M129">
            <v>11</v>
          </cell>
          <cell r="N129">
            <v>5.8</v>
          </cell>
          <cell r="O129">
            <v>32582.98</v>
          </cell>
          <cell r="P129">
            <v>66.9</v>
          </cell>
        </row>
        <row r="130">
          <cell r="A130">
            <v>11.001</v>
          </cell>
          <cell r="C130" t="str">
            <v>OTHER ESOPHAGEAL DISORDERS                                                        </v>
          </cell>
          <cell r="D130">
            <v>0</v>
          </cell>
          <cell r="E130">
            <v>3</v>
          </cell>
          <cell r="F130">
            <v>2</v>
          </cell>
          <cell r="G130">
            <v>6</v>
          </cell>
          <cell r="H130">
            <v>0</v>
          </cell>
          <cell r="I130">
            <v>11</v>
          </cell>
          <cell r="J130">
            <v>7</v>
          </cell>
          <cell r="K130">
            <v>4</v>
          </cell>
          <cell r="L130">
            <v>0</v>
          </cell>
          <cell r="M130">
            <v>11</v>
          </cell>
          <cell r="N130">
            <v>2.5</v>
          </cell>
          <cell r="O130">
            <v>18330.39</v>
          </cell>
          <cell r="P130">
            <v>58.6</v>
          </cell>
        </row>
        <row r="131">
          <cell r="A131">
            <v>11.001</v>
          </cell>
          <cell r="C131" t="str">
            <v>OTHER DIGESTIVE SYSTEM &amp; ABDOMINAL PROCEDURES                                     </v>
          </cell>
          <cell r="D131">
            <v>0</v>
          </cell>
          <cell r="E131">
            <v>1</v>
          </cell>
          <cell r="F131">
            <v>1</v>
          </cell>
          <cell r="G131">
            <v>9</v>
          </cell>
          <cell r="H131">
            <v>0</v>
          </cell>
          <cell r="I131">
            <v>11</v>
          </cell>
          <cell r="J131">
            <v>5</v>
          </cell>
          <cell r="K131">
            <v>6</v>
          </cell>
          <cell r="L131">
            <v>0</v>
          </cell>
          <cell r="M131">
            <v>11</v>
          </cell>
          <cell r="N131">
            <v>6.5</v>
          </cell>
          <cell r="O131">
            <v>56112.35</v>
          </cell>
          <cell r="P131">
            <v>69.8</v>
          </cell>
        </row>
        <row r="132">
          <cell r="A132">
            <v>11.001</v>
          </cell>
          <cell r="C132" t="str">
            <v>OTHER STOMACH, ESOPHAGEAL &amp; DUODENAL PROCEDURES                                   </v>
          </cell>
          <cell r="D132">
            <v>0</v>
          </cell>
          <cell r="E132">
            <v>2</v>
          </cell>
          <cell r="F132">
            <v>6</v>
          </cell>
          <cell r="G132">
            <v>3</v>
          </cell>
          <cell r="H132">
            <v>0</v>
          </cell>
          <cell r="I132">
            <v>11</v>
          </cell>
          <cell r="J132">
            <v>1</v>
          </cell>
          <cell r="K132">
            <v>10</v>
          </cell>
          <cell r="L132">
            <v>0</v>
          </cell>
          <cell r="M132">
            <v>11</v>
          </cell>
          <cell r="N132">
            <v>3.5</v>
          </cell>
          <cell r="O132">
            <v>38708.35</v>
          </cell>
          <cell r="P132">
            <v>57.1</v>
          </cell>
        </row>
        <row r="133">
          <cell r="A133">
            <v>11.001</v>
          </cell>
          <cell r="C133" t="str">
            <v>MALFUNCTION,REACTION,COMPLICATION OF CARDIAC/VASC DEVICE OR PROCEDURE             </v>
          </cell>
          <cell r="D133">
            <v>0</v>
          </cell>
          <cell r="E133">
            <v>0</v>
          </cell>
          <cell r="F133">
            <v>6</v>
          </cell>
          <cell r="G133">
            <v>5</v>
          </cell>
          <cell r="H133">
            <v>0</v>
          </cell>
          <cell r="I133">
            <v>11</v>
          </cell>
          <cell r="J133">
            <v>7</v>
          </cell>
          <cell r="K133">
            <v>4</v>
          </cell>
          <cell r="L133">
            <v>0</v>
          </cell>
          <cell r="M133">
            <v>11</v>
          </cell>
          <cell r="N133">
            <v>5.8</v>
          </cell>
          <cell r="O133">
            <v>40050.02</v>
          </cell>
          <cell r="P133">
            <v>62.5</v>
          </cell>
        </row>
        <row r="134">
          <cell r="A134">
            <v>11.001</v>
          </cell>
          <cell r="C134" t="str">
            <v>INTERSTITIAL LUNG DISEASE                                                         </v>
          </cell>
          <cell r="D134">
            <v>0</v>
          </cell>
          <cell r="E134">
            <v>4</v>
          </cell>
          <cell r="F134">
            <v>2</v>
          </cell>
          <cell r="G134">
            <v>5</v>
          </cell>
          <cell r="H134">
            <v>0</v>
          </cell>
          <cell r="I134">
            <v>11</v>
          </cell>
          <cell r="J134">
            <v>3</v>
          </cell>
          <cell r="K134">
            <v>8</v>
          </cell>
          <cell r="L134">
            <v>0</v>
          </cell>
          <cell r="M134">
            <v>11</v>
          </cell>
          <cell r="N134">
            <v>4.9</v>
          </cell>
          <cell r="O134">
            <v>28818.16</v>
          </cell>
          <cell r="P134">
            <v>60.5</v>
          </cell>
        </row>
        <row r="135">
          <cell r="A135">
            <v>11</v>
          </cell>
          <cell r="C135" t="str">
            <v>VERTIGO &amp; OTHER LABYRINTH DISORDERS                                               </v>
          </cell>
          <cell r="D135">
            <v>0</v>
          </cell>
          <cell r="E135">
            <v>0</v>
          </cell>
          <cell r="F135">
            <v>3</v>
          </cell>
          <cell r="G135">
            <v>8</v>
          </cell>
          <cell r="H135">
            <v>0</v>
          </cell>
          <cell r="I135">
            <v>11</v>
          </cell>
          <cell r="J135">
            <v>2</v>
          </cell>
          <cell r="K135">
            <v>9</v>
          </cell>
          <cell r="L135">
            <v>0</v>
          </cell>
          <cell r="M135">
            <v>11</v>
          </cell>
          <cell r="N135">
            <v>2.1</v>
          </cell>
          <cell r="O135">
            <v>16260.58</v>
          </cell>
          <cell r="P135">
            <v>73.4</v>
          </cell>
        </row>
        <row r="136">
          <cell r="A136">
            <v>10.001</v>
          </cell>
          <cell r="C136" t="str">
            <v>LYMPHOMA, MYELOMA &amp; NON-ACUTE LEUKEMIA                                            </v>
          </cell>
          <cell r="D136">
            <v>0</v>
          </cell>
          <cell r="E136">
            <v>1</v>
          </cell>
          <cell r="F136">
            <v>2</v>
          </cell>
          <cell r="G136">
            <v>7</v>
          </cell>
          <cell r="H136">
            <v>0</v>
          </cell>
          <cell r="I136">
            <v>10</v>
          </cell>
          <cell r="J136">
            <v>7</v>
          </cell>
          <cell r="K136">
            <v>3</v>
          </cell>
          <cell r="L136">
            <v>0</v>
          </cell>
          <cell r="M136">
            <v>10</v>
          </cell>
          <cell r="N136">
            <v>8.9</v>
          </cell>
          <cell r="O136">
            <v>53427.05</v>
          </cell>
          <cell r="P136">
            <v>69.5</v>
          </cell>
        </row>
        <row r="137">
          <cell r="A137">
            <v>10.001</v>
          </cell>
          <cell r="C137" t="str">
            <v>COAGULATION &amp; PLATELET DISORDERS                                                  </v>
          </cell>
          <cell r="D137">
            <v>0</v>
          </cell>
          <cell r="E137">
            <v>1</v>
          </cell>
          <cell r="F137">
            <v>3</v>
          </cell>
          <cell r="G137">
            <v>6</v>
          </cell>
          <cell r="H137">
            <v>0</v>
          </cell>
          <cell r="I137">
            <v>10</v>
          </cell>
          <cell r="J137">
            <v>2</v>
          </cell>
          <cell r="K137">
            <v>8</v>
          </cell>
          <cell r="L137">
            <v>0</v>
          </cell>
          <cell r="M137">
            <v>10</v>
          </cell>
          <cell r="N137">
            <v>2.5</v>
          </cell>
          <cell r="O137">
            <v>22697.72</v>
          </cell>
          <cell r="P137">
            <v>65.8</v>
          </cell>
        </row>
        <row r="138">
          <cell r="A138">
            <v>10.001</v>
          </cell>
          <cell r="C138" t="str">
            <v>POSTPARTUM &amp; POST ABORTION DIAGNOSES W/O PROCEDURE                                </v>
          </cell>
          <cell r="D138">
            <v>0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10</v>
          </cell>
          <cell r="J138">
            <v>0</v>
          </cell>
          <cell r="K138">
            <v>10</v>
          </cell>
          <cell r="L138">
            <v>0</v>
          </cell>
          <cell r="M138">
            <v>10</v>
          </cell>
          <cell r="N138">
            <v>1.3</v>
          </cell>
          <cell r="O138">
            <v>4349.73</v>
          </cell>
          <cell r="P138">
            <v>22.9</v>
          </cell>
        </row>
        <row r="139">
          <cell r="A139">
            <v>10</v>
          </cell>
          <cell r="C139" t="str">
            <v>OTHER EAR, NOSE, MOUTH,THROAT &amp; CRANIAL/FACIAL DIAGNOSES                          </v>
          </cell>
          <cell r="D139">
            <v>0</v>
          </cell>
          <cell r="E139">
            <v>1</v>
          </cell>
          <cell r="F139">
            <v>3</v>
          </cell>
          <cell r="G139">
            <v>6</v>
          </cell>
          <cell r="H139">
            <v>0</v>
          </cell>
          <cell r="I139">
            <v>10</v>
          </cell>
          <cell r="J139">
            <v>3</v>
          </cell>
          <cell r="K139">
            <v>7</v>
          </cell>
          <cell r="L139">
            <v>0</v>
          </cell>
          <cell r="M139">
            <v>10</v>
          </cell>
          <cell r="N139">
            <v>2.6</v>
          </cell>
          <cell r="O139">
            <v>15733.02</v>
          </cell>
          <cell r="P139">
            <v>66.9</v>
          </cell>
        </row>
        <row r="140">
          <cell r="A140">
            <v>9.001</v>
          </cell>
          <cell r="C140" t="str">
            <v>URETHRAL &amp; TRANSURETHRAL PROCEDURES                                               </v>
          </cell>
          <cell r="D140">
            <v>0</v>
          </cell>
          <cell r="E140">
            <v>3</v>
          </cell>
          <cell r="F140">
            <v>4</v>
          </cell>
          <cell r="G140">
            <v>2</v>
          </cell>
          <cell r="H140">
            <v>0</v>
          </cell>
          <cell r="I140">
            <v>9</v>
          </cell>
          <cell r="J140">
            <v>3</v>
          </cell>
          <cell r="K140">
            <v>6</v>
          </cell>
          <cell r="L140">
            <v>0</v>
          </cell>
          <cell r="M140">
            <v>9</v>
          </cell>
          <cell r="N140">
            <v>2.9</v>
          </cell>
          <cell r="O140">
            <v>30627.44</v>
          </cell>
          <cell r="P140">
            <v>53.3</v>
          </cell>
        </row>
        <row r="141">
          <cell r="A141">
            <v>9.001</v>
          </cell>
          <cell r="C141" t="str">
            <v>FRACTURE OF FEMUR                                                                 </v>
          </cell>
          <cell r="D141">
            <v>0</v>
          </cell>
          <cell r="E141">
            <v>0</v>
          </cell>
          <cell r="F141">
            <v>1</v>
          </cell>
          <cell r="G141">
            <v>8</v>
          </cell>
          <cell r="H141">
            <v>0</v>
          </cell>
          <cell r="I141">
            <v>9</v>
          </cell>
          <cell r="J141">
            <v>4</v>
          </cell>
          <cell r="K141">
            <v>5</v>
          </cell>
          <cell r="L141">
            <v>0</v>
          </cell>
          <cell r="M141">
            <v>9</v>
          </cell>
          <cell r="N141">
            <v>3.2</v>
          </cell>
          <cell r="O141">
            <v>13147.88</v>
          </cell>
          <cell r="P141">
            <v>75</v>
          </cell>
        </row>
        <row r="142">
          <cell r="A142">
            <v>9.001</v>
          </cell>
          <cell r="C142" t="str">
            <v>CARDIAC VALVE PROCEDURES W CARDIAC CATHETERIZATION                                </v>
          </cell>
          <cell r="D142">
            <v>0</v>
          </cell>
          <cell r="E142">
            <v>1</v>
          </cell>
          <cell r="F142">
            <v>1</v>
          </cell>
          <cell r="G142">
            <v>7</v>
          </cell>
          <cell r="H142">
            <v>0</v>
          </cell>
          <cell r="I142">
            <v>9</v>
          </cell>
          <cell r="J142">
            <v>8</v>
          </cell>
          <cell r="K142">
            <v>1</v>
          </cell>
          <cell r="L142">
            <v>0</v>
          </cell>
          <cell r="M142">
            <v>9</v>
          </cell>
          <cell r="N142">
            <v>9.4</v>
          </cell>
          <cell r="O142">
            <v>138382.96</v>
          </cell>
          <cell r="P142">
            <v>66</v>
          </cell>
        </row>
        <row r="143">
          <cell r="A143">
            <v>9</v>
          </cell>
          <cell r="C143" t="str">
            <v>CONCUSSION, CLOSED SKULL FX NOS,UNCOMPLICATED INTRACRANIAL INJURY, COMA &lt; 1 HR OR </v>
          </cell>
          <cell r="D143">
            <v>0</v>
          </cell>
          <cell r="E143">
            <v>4</v>
          </cell>
          <cell r="F143">
            <v>3</v>
          </cell>
          <cell r="G143">
            <v>2</v>
          </cell>
          <cell r="H143">
            <v>0</v>
          </cell>
          <cell r="I143">
            <v>9</v>
          </cell>
          <cell r="J143">
            <v>4</v>
          </cell>
          <cell r="K143">
            <v>5</v>
          </cell>
          <cell r="L143">
            <v>0</v>
          </cell>
          <cell r="M143">
            <v>9</v>
          </cell>
          <cell r="N143">
            <v>2</v>
          </cell>
          <cell r="O143">
            <v>15185.08</v>
          </cell>
          <cell r="P143">
            <v>49.4</v>
          </cell>
        </row>
        <row r="144">
          <cell r="A144">
            <v>8.001</v>
          </cell>
          <cell r="C144" t="str">
            <v>OTHER INFECTIOUS &amp; PARASITIC DISEASES                                             </v>
          </cell>
          <cell r="D144">
            <v>1</v>
          </cell>
          <cell r="E144">
            <v>0</v>
          </cell>
          <cell r="F144">
            <v>3</v>
          </cell>
          <cell r="G144">
            <v>4</v>
          </cell>
          <cell r="H144">
            <v>0</v>
          </cell>
          <cell r="I144">
            <v>8</v>
          </cell>
          <cell r="J144">
            <v>4</v>
          </cell>
          <cell r="K144">
            <v>4</v>
          </cell>
          <cell r="L144">
            <v>0</v>
          </cell>
          <cell r="M144">
            <v>8</v>
          </cell>
          <cell r="N144">
            <v>3.3</v>
          </cell>
          <cell r="O144">
            <v>17021.43</v>
          </cell>
          <cell r="P144">
            <v>60.9</v>
          </cell>
        </row>
        <row r="145">
          <cell r="A145">
            <v>8.001</v>
          </cell>
          <cell r="C145" t="str">
            <v>SICKLE CELL ANEMIA CRISIS                                                         </v>
          </cell>
          <cell r="D145">
            <v>1</v>
          </cell>
          <cell r="E145">
            <v>7</v>
          </cell>
          <cell r="F145">
            <v>0</v>
          </cell>
          <cell r="G145">
            <v>0</v>
          </cell>
          <cell r="H145">
            <v>0</v>
          </cell>
          <cell r="I145">
            <v>8</v>
          </cell>
          <cell r="J145">
            <v>7</v>
          </cell>
          <cell r="K145">
            <v>1</v>
          </cell>
          <cell r="L145">
            <v>0</v>
          </cell>
          <cell r="M145">
            <v>8</v>
          </cell>
          <cell r="N145">
            <v>4</v>
          </cell>
          <cell r="O145">
            <v>21992.34</v>
          </cell>
          <cell r="P145">
            <v>24.1</v>
          </cell>
        </row>
        <row r="146">
          <cell r="A146">
            <v>8.001</v>
          </cell>
          <cell r="C146" t="str">
            <v>FEMALE REPRODUCTIVE SYSTEM MALIGNANCY                                             </v>
          </cell>
          <cell r="D146">
            <v>0</v>
          </cell>
          <cell r="E146">
            <v>1</v>
          </cell>
          <cell r="F146">
            <v>3</v>
          </cell>
          <cell r="G146">
            <v>4</v>
          </cell>
          <cell r="H146">
            <v>0</v>
          </cell>
          <cell r="I146">
            <v>8</v>
          </cell>
          <cell r="J146">
            <v>0</v>
          </cell>
          <cell r="K146">
            <v>8</v>
          </cell>
          <cell r="L146">
            <v>0</v>
          </cell>
          <cell r="M146">
            <v>8</v>
          </cell>
          <cell r="N146">
            <v>18</v>
          </cell>
          <cell r="O146">
            <v>131980.83</v>
          </cell>
          <cell r="P146">
            <v>69.9</v>
          </cell>
        </row>
        <row r="147">
          <cell r="A147">
            <v>8.001</v>
          </cell>
          <cell r="C147" t="str">
            <v>URINARY STONES &amp; ACQUIRED UPPER URINARY TRACT OBSTRUCTION                         </v>
          </cell>
          <cell r="D147">
            <v>0</v>
          </cell>
          <cell r="E147">
            <v>6</v>
          </cell>
          <cell r="F147">
            <v>2</v>
          </cell>
          <cell r="G147">
            <v>0</v>
          </cell>
          <cell r="H147">
            <v>0</v>
          </cell>
          <cell r="I147">
            <v>8</v>
          </cell>
          <cell r="J147">
            <v>4</v>
          </cell>
          <cell r="K147">
            <v>4</v>
          </cell>
          <cell r="L147">
            <v>0</v>
          </cell>
          <cell r="M147">
            <v>8</v>
          </cell>
          <cell r="N147">
            <v>2.9</v>
          </cell>
          <cell r="O147">
            <v>27627.64</v>
          </cell>
          <cell r="P147">
            <v>40.1</v>
          </cell>
        </row>
        <row r="148">
          <cell r="A148">
            <v>8.001</v>
          </cell>
          <cell r="C148" t="str">
            <v>OTHER MUSCULOSKELETAL SYSTEM &amp; CONNECTIVE TISSUE PROCEDURES                       </v>
          </cell>
          <cell r="D148">
            <v>0</v>
          </cell>
          <cell r="E148">
            <v>2</v>
          </cell>
          <cell r="F148">
            <v>2</v>
          </cell>
          <cell r="G148">
            <v>4</v>
          </cell>
          <cell r="H148">
            <v>0</v>
          </cell>
          <cell r="I148">
            <v>8</v>
          </cell>
          <cell r="J148">
            <v>2</v>
          </cell>
          <cell r="K148">
            <v>6</v>
          </cell>
          <cell r="L148">
            <v>0</v>
          </cell>
          <cell r="M148">
            <v>8</v>
          </cell>
          <cell r="N148">
            <v>6.1</v>
          </cell>
          <cell r="O148">
            <v>35837.36</v>
          </cell>
          <cell r="P148">
            <v>59.8</v>
          </cell>
        </row>
        <row r="149">
          <cell r="A149">
            <v>8.001</v>
          </cell>
          <cell r="C149" t="str">
            <v>INFECTIONS OF UPPER RESPIRATORY TRACT                                             </v>
          </cell>
          <cell r="D149">
            <v>3</v>
          </cell>
          <cell r="E149">
            <v>1</v>
          </cell>
          <cell r="F149">
            <v>0</v>
          </cell>
          <cell r="G149">
            <v>4</v>
          </cell>
          <cell r="H149">
            <v>0</v>
          </cell>
          <cell r="I149">
            <v>8</v>
          </cell>
          <cell r="J149">
            <v>5</v>
          </cell>
          <cell r="K149">
            <v>3</v>
          </cell>
          <cell r="L149">
            <v>0</v>
          </cell>
          <cell r="M149">
            <v>8</v>
          </cell>
          <cell r="N149">
            <v>2.5</v>
          </cell>
          <cell r="O149">
            <v>13594.35</v>
          </cell>
          <cell r="P149">
            <v>46.4</v>
          </cell>
        </row>
        <row r="150">
          <cell r="A150">
            <v>8.001</v>
          </cell>
          <cell r="C150" t="str">
            <v>MIGRAINE &amp; OTHER HEADACHES                                                        </v>
          </cell>
          <cell r="D150">
            <v>0</v>
          </cell>
          <cell r="E150">
            <v>4</v>
          </cell>
          <cell r="F150">
            <v>3</v>
          </cell>
          <cell r="G150">
            <v>1</v>
          </cell>
          <cell r="H150">
            <v>0</v>
          </cell>
          <cell r="I150">
            <v>8</v>
          </cell>
          <cell r="J150">
            <v>1</v>
          </cell>
          <cell r="K150">
            <v>7</v>
          </cell>
          <cell r="L150">
            <v>0</v>
          </cell>
          <cell r="M150">
            <v>8</v>
          </cell>
          <cell r="N150">
            <v>2.6</v>
          </cell>
          <cell r="O150">
            <v>19916.2</v>
          </cell>
          <cell r="P150">
            <v>43.5</v>
          </cell>
        </row>
        <row r="151">
          <cell r="A151">
            <v>8.001</v>
          </cell>
          <cell r="C151" t="str">
            <v>INTRACRANIAL HEMORRHAGE                                                           </v>
          </cell>
          <cell r="D151">
            <v>0</v>
          </cell>
          <cell r="E151">
            <v>0</v>
          </cell>
          <cell r="F151">
            <v>1</v>
          </cell>
          <cell r="G151">
            <v>7</v>
          </cell>
          <cell r="H151">
            <v>0</v>
          </cell>
          <cell r="I151">
            <v>8</v>
          </cell>
          <cell r="J151">
            <v>3</v>
          </cell>
          <cell r="K151">
            <v>5</v>
          </cell>
          <cell r="L151">
            <v>0</v>
          </cell>
          <cell r="M151">
            <v>8</v>
          </cell>
          <cell r="N151">
            <v>3.4</v>
          </cell>
          <cell r="O151">
            <v>17731.94</v>
          </cell>
          <cell r="P151">
            <v>76.9</v>
          </cell>
        </row>
        <row r="152">
          <cell r="A152">
            <v>8.001</v>
          </cell>
          <cell r="C152" t="str">
            <v>DEGENERATIVE NERVOUS SYSTEM DISORDERS EXC MULT SCLEROSIS                          </v>
          </cell>
          <cell r="D152">
            <v>0</v>
          </cell>
          <cell r="E152">
            <v>1</v>
          </cell>
          <cell r="F152">
            <v>0</v>
          </cell>
          <cell r="G152">
            <v>7</v>
          </cell>
          <cell r="H152">
            <v>0</v>
          </cell>
          <cell r="I152">
            <v>8</v>
          </cell>
          <cell r="J152">
            <v>6</v>
          </cell>
          <cell r="K152">
            <v>2</v>
          </cell>
          <cell r="L152">
            <v>0</v>
          </cell>
          <cell r="M152">
            <v>8</v>
          </cell>
          <cell r="N152">
            <v>10</v>
          </cell>
          <cell r="O152">
            <v>33204.54</v>
          </cell>
          <cell r="P152">
            <v>74</v>
          </cell>
        </row>
        <row r="153">
          <cell r="A153">
            <v>8</v>
          </cell>
          <cell r="C153" t="str">
            <v>NERVOUS SYSTEM MALIGNANCY                                                         </v>
          </cell>
          <cell r="D153">
            <v>0</v>
          </cell>
          <cell r="E153">
            <v>0</v>
          </cell>
          <cell r="F153">
            <v>2</v>
          </cell>
          <cell r="G153">
            <v>6</v>
          </cell>
          <cell r="H153">
            <v>0</v>
          </cell>
          <cell r="I153">
            <v>8</v>
          </cell>
          <cell r="J153">
            <v>2</v>
          </cell>
          <cell r="K153">
            <v>6</v>
          </cell>
          <cell r="L153">
            <v>0</v>
          </cell>
          <cell r="M153">
            <v>8</v>
          </cell>
          <cell r="N153">
            <v>3</v>
          </cell>
          <cell r="O153">
            <v>19524.85</v>
          </cell>
          <cell r="P153">
            <v>68.1</v>
          </cell>
        </row>
        <row r="154">
          <cell r="A154">
            <v>7.001</v>
          </cell>
          <cell r="C154" t="str">
            <v>EXTENSIVE PROCEDURE UNRELATED TO PRINCIPAL DIAGNOSIS                              </v>
          </cell>
          <cell r="D154">
            <v>0</v>
          </cell>
          <cell r="E154">
            <v>0</v>
          </cell>
          <cell r="F154">
            <v>2</v>
          </cell>
          <cell r="G154">
            <v>5</v>
          </cell>
          <cell r="H154">
            <v>0</v>
          </cell>
          <cell r="I154">
            <v>7</v>
          </cell>
          <cell r="J154">
            <v>2</v>
          </cell>
          <cell r="K154">
            <v>5</v>
          </cell>
          <cell r="L154">
            <v>0</v>
          </cell>
          <cell r="M154">
            <v>7</v>
          </cell>
          <cell r="N154">
            <v>12.1</v>
          </cell>
          <cell r="O154">
            <v>94106.4</v>
          </cell>
          <cell r="P154">
            <v>71.7</v>
          </cell>
        </row>
        <row r="155">
          <cell r="A155">
            <v>7.001</v>
          </cell>
          <cell r="C155" t="str">
            <v>ALLERGIC REACTIONS                                                                </v>
          </cell>
          <cell r="D155">
            <v>0</v>
          </cell>
          <cell r="E155">
            <v>2</v>
          </cell>
          <cell r="F155">
            <v>1</v>
          </cell>
          <cell r="G155">
            <v>4</v>
          </cell>
          <cell r="H155">
            <v>0</v>
          </cell>
          <cell r="I155">
            <v>7</v>
          </cell>
          <cell r="J155">
            <v>3</v>
          </cell>
          <cell r="K155">
            <v>4</v>
          </cell>
          <cell r="L155">
            <v>0</v>
          </cell>
          <cell r="M155">
            <v>7</v>
          </cell>
          <cell r="N155">
            <v>2.6</v>
          </cell>
          <cell r="O155">
            <v>22680.03</v>
          </cell>
          <cell r="P155">
            <v>57.1</v>
          </cell>
        </row>
        <row r="156">
          <cell r="A156">
            <v>7.001</v>
          </cell>
          <cell r="C156" t="str">
            <v>MAJOR MALE PELVIC PROCEDURES                                                      </v>
          </cell>
          <cell r="D156">
            <v>0</v>
          </cell>
          <cell r="E156">
            <v>0</v>
          </cell>
          <cell r="F156">
            <v>6</v>
          </cell>
          <cell r="G156">
            <v>1</v>
          </cell>
          <cell r="H156">
            <v>0</v>
          </cell>
          <cell r="I156">
            <v>7</v>
          </cell>
          <cell r="J156">
            <v>7</v>
          </cell>
          <cell r="K156">
            <v>0</v>
          </cell>
          <cell r="L156">
            <v>0</v>
          </cell>
          <cell r="M156">
            <v>7</v>
          </cell>
          <cell r="N156">
            <v>2.3</v>
          </cell>
          <cell r="O156">
            <v>31807.97</v>
          </cell>
          <cell r="P156">
            <v>57</v>
          </cell>
        </row>
        <row r="157">
          <cell r="A157">
            <v>7.001</v>
          </cell>
          <cell r="C157" t="str">
            <v>KIDNEY &amp; URINARY TRACT PROCEDURES FOR NONMALIGNANCY                               </v>
          </cell>
          <cell r="D157">
            <v>0</v>
          </cell>
          <cell r="E157">
            <v>0</v>
          </cell>
          <cell r="F157">
            <v>3</v>
          </cell>
          <cell r="G157">
            <v>4</v>
          </cell>
          <cell r="H157">
            <v>0</v>
          </cell>
          <cell r="I157">
            <v>7</v>
          </cell>
          <cell r="J157">
            <v>5</v>
          </cell>
          <cell r="K157">
            <v>2</v>
          </cell>
          <cell r="L157">
            <v>0</v>
          </cell>
          <cell r="M157">
            <v>7</v>
          </cell>
          <cell r="N157">
            <v>2.7</v>
          </cell>
          <cell r="O157">
            <v>32406.84</v>
          </cell>
          <cell r="P157">
            <v>66.6</v>
          </cell>
        </row>
        <row r="158">
          <cell r="A158">
            <v>7.001</v>
          </cell>
          <cell r="C158" t="str">
            <v>SKIN ULCERS                                                                       </v>
          </cell>
          <cell r="D158">
            <v>0</v>
          </cell>
          <cell r="E158">
            <v>0</v>
          </cell>
          <cell r="F158">
            <v>3</v>
          </cell>
          <cell r="G158">
            <v>4</v>
          </cell>
          <cell r="H158">
            <v>0</v>
          </cell>
          <cell r="I158">
            <v>7</v>
          </cell>
          <cell r="J158">
            <v>5</v>
          </cell>
          <cell r="K158">
            <v>2</v>
          </cell>
          <cell r="L158">
            <v>0</v>
          </cell>
          <cell r="M158">
            <v>7</v>
          </cell>
          <cell r="N158">
            <v>5</v>
          </cell>
          <cell r="O158">
            <v>25830.53</v>
          </cell>
          <cell r="P158">
            <v>70.6</v>
          </cell>
        </row>
        <row r="159">
          <cell r="A159">
            <v>7.001</v>
          </cell>
          <cell r="C159" t="str">
            <v>MUSCULOSKELETAL MALIGNANCY &amp; PATHOL FRACTURE D/T MUSCSKEL MALIG                   </v>
          </cell>
          <cell r="D159">
            <v>0</v>
          </cell>
          <cell r="E159">
            <v>0</v>
          </cell>
          <cell r="F159">
            <v>3</v>
          </cell>
          <cell r="G159">
            <v>4</v>
          </cell>
          <cell r="H159">
            <v>0</v>
          </cell>
          <cell r="I159">
            <v>7</v>
          </cell>
          <cell r="J159">
            <v>3</v>
          </cell>
          <cell r="K159">
            <v>4</v>
          </cell>
          <cell r="L159">
            <v>0</v>
          </cell>
          <cell r="M159">
            <v>7</v>
          </cell>
          <cell r="N159">
            <v>7</v>
          </cell>
          <cell r="O159">
            <v>37773.87</v>
          </cell>
          <cell r="P159">
            <v>69</v>
          </cell>
        </row>
        <row r="160">
          <cell r="A160">
            <v>7</v>
          </cell>
          <cell r="C160" t="str">
            <v>GASTROINTESTINAL VASCULAR INSUFFICIENCY                                           </v>
          </cell>
          <cell r="D160">
            <v>0</v>
          </cell>
          <cell r="E160">
            <v>2</v>
          </cell>
          <cell r="F160">
            <v>3</v>
          </cell>
          <cell r="G160">
            <v>2</v>
          </cell>
          <cell r="H160">
            <v>0</v>
          </cell>
          <cell r="I160">
            <v>7</v>
          </cell>
          <cell r="J160">
            <v>2</v>
          </cell>
          <cell r="K160">
            <v>5</v>
          </cell>
          <cell r="L160">
            <v>0</v>
          </cell>
          <cell r="M160">
            <v>7</v>
          </cell>
          <cell r="N160">
            <v>2.7</v>
          </cell>
          <cell r="O160">
            <v>18659.16</v>
          </cell>
          <cell r="P160">
            <v>60</v>
          </cell>
        </row>
        <row r="161">
          <cell r="A161">
            <v>6.001</v>
          </cell>
          <cell r="C161" t="str">
            <v>HIV W MAJOR HIV RELATED CONDITION                                                 </v>
          </cell>
          <cell r="D161">
            <v>0</v>
          </cell>
          <cell r="E161">
            <v>1</v>
          </cell>
          <cell r="F161">
            <v>5</v>
          </cell>
          <cell r="G161">
            <v>0</v>
          </cell>
          <cell r="H161">
            <v>0</v>
          </cell>
          <cell r="I161">
            <v>6</v>
          </cell>
          <cell r="J161">
            <v>6</v>
          </cell>
          <cell r="K161">
            <v>0</v>
          </cell>
          <cell r="L161">
            <v>0</v>
          </cell>
          <cell r="M161">
            <v>6</v>
          </cell>
          <cell r="N161">
            <v>2.3</v>
          </cell>
          <cell r="O161">
            <v>19383.4</v>
          </cell>
          <cell r="P161">
            <v>47.3</v>
          </cell>
        </row>
        <row r="162">
          <cell r="A162">
            <v>6.001</v>
          </cell>
          <cell r="C162" t="str">
            <v>NEONATE BIRTHWT &gt;2499G W MAJOR ANOMALY                                            </v>
          </cell>
          <cell r="D162">
            <v>6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6</v>
          </cell>
          <cell r="J162">
            <v>4</v>
          </cell>
          <cell r="K162">
            <v>2</v>
          </cell>
          <cell r="L162">
            <v>0</v>
          </cell>
          <cell r="M162">
            <v>6</v>
          </cell>
          <cell r="N162">
            <v>2.7</v>
          </cell>
          <cell r="O162">
            <v>5502.52</v>
          </cell>
          <cell r="P162">
            <v>0</v>
          </cell>
        </row>
        <row r="163">
          <cell r="A163">
            <v>6.001</v>
          </cell>
          <cell r="C163" t="str">
            <v>OTHER KIDNEY, URINARY TRACT &amp; RELATED PROCEDURES                                  </v>
          </cell>
          <cell r="D163">
            <v>0</v>
          </cell>
          <cell r="E163">
            <v>1</v>
          </cell>
          <cell r="F163">
            <v>1</v>
          </cell>
          <cell r="G163">
            <v>4</v>
          </cell>
          <cell r="H163">
            <v>0</v>
          </cell>
          <cell r="I163">
            <v>6</v>
          </cell>
          <cell r="J163">
            <v>4</v>
          </cell>
          <cell r="K163">
            <v>2</v>
          </cell>
          <cell r="L163">
            <v>0</v>
          </cell>
          <cell r="M163">
            <v>6</v>
          </cell>
          <cell r="N163">
            <v>2.3</v>
          </cell>
          <cell r="O163">
            <v>31617.65</v>
          </cell>
          <cell r="P163">
            <v>62.5</v>
          </cell>
        </row>
        <row r="164">
          <cell r="A164">
            <v>6.001</v>
          </cell>
          <cell r="C164" t="str">
            <v>MALNUTRITION, FAILURE TO THRIVE &amp; OTHER NUTRITIONAL DISORDERS                     </v>
          </cell>
          <cell r="D164">
            <v>0</v>
          </cell>
          <cell r="E164">
            <v>0</v>
          </cell>
          <cell r="F164">
            <v>5</v>
          </cell>
          <cell r="G164">
            <v>1</v>
          </cell>
          <cell r="H164">
            <v>0</v>
          </cell>
          <cell r="I164">
            <v>6</v>
          </cell>
          <cell r="J164">
            <v>4</v>
          </cell>
          <cell r="K164">
            <v>2</v>
          </cell>
          <cell r="L164">
            <v>0</v>
          </cell>
          <cell r="M164">
            <v>6</v>
          </cell>
          <cell r="N164">
            <v>6</v>
          </cell>
          <cell r="O164">
            <v>23365.72</v>
          </cell>
          <cell r="P164">
            <v>63.3</v>
          </cell>
        </row>
        <row r="165">
          <cell r="A165">
            <v>6.001</v>
          </cell>
          <cell r="C165" t="str">
            <v>INGUINAL, FEMORAL &amp; UMBILICAL HERNIA PROCEDURES                                   </v>
          </cell>
          <cell r="D165">
            <v>0</v>
          </cell>
          <cell r="E165">
            <v>0</v>
          </cell>
          <cell r="F165">
            <v>2</v>
          </cell>
          <cell r="G165">
            <v>4</v>
          </cell>
          <cell r="H165">
            <v>0</v>
          </cell>
          <cell r="I165">
            <v>6</v>
          </cell>
          <cell r="J165">
            <v>4</v>
          </cell>
          <cell r="K165">
            <v>2</v>
          </cell>
          <cell r="L165">
            <v>0</v>
          </cell>
          <cell r="M165">
            <v>6</v>
          </cell>
          <cell r="N165">
            <v>5</v>
          </cell>
          <cell r="O165">
            <v>40668.33</v>
          </cell>
          <cell r="P165">
            <v>71.5</v>
          </cell>
        </row>
        <row r="166">
          <cell r="A166">
            <v>6.001</v>
          </cell>
          <cell r="C166" t="str">
            <v>PERITONEAL ADHESIOLYSIS                                                           </v>
          </cell>
          <cell r="D166">
            <v>0</v>
          </cell>
          <cell r="E166">
            <v>2</v>
          </cell>
          <cell r="F166">
            <v>0</v>
          </cell>
          <cell r="G166">
            <v>4</v>
          </cell>
          <cell r="H166">
            <v>0</v>
          </cell>
          <cell r="I166">
            <v>6</v>
          </cell>
          <cell r="J166">
            <v>0</v>
          </cell>
          <cell r="K166">
            <v>6</v>
          </cell>
          <cell r="L166">
            <v>0</v>
          </cell>
          <cell r="M166">
            <v>6</v>
          </cell>
          <cell r="N166">
            <v>11.8</v>
          </cell>
          <cell r="O166">
            <v>86834.47</v>
          </cell>
          <cell r="P166">
            <v>59.7</v>
          </cell>
        </row>
        <row r="167">
          <cell r="A167">
            <v>6.001</v>
          </cell>
          <cell r="C167" t="str">
            <v>CARDIAC ARREST                                                                    </v>
          </cell>
          <cell r="D167">
            <v>0</v>
          </cell>
          <cell r="E167">
            <v>0</v>
          </cell>
          <cell r="F167">
            <v>2</v>
          </cell>
          <cell r="G167">
            <v>4</v>
          </cell>
          <cell r="H167">
            <v>0</v>
          </cell>
          <cell r="I167">
            <v>6</v>
          </cell>
          <cell r="J167">
            <v>4</v>
          </cell>
          <cell r="K167">
            <v>2</v>
          </cell>
          <cell r="L167">
            <v>0</v>
          </cell>
          <cell r="M167">
            <v>6</v>
          </cell>
          <cell r="N167">
            <v>4.5</v>
          </cell>
          <cell r="O167">
            <v>45029.42</v>
          </cell>
          <cell r="P167">
            <v>65</v>
          </cell>
        </row>
        <row r="168">
          <cell r="A168">
            <v>6.001</v>
          </cell>
          <cell r="C168" t="str">
            <v>BRONCHIOLITIS &amp; RSV PNEUMONIA                                                     </v>
          </cell>
          <cell r="D168">
            <v>6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6</v>
          </cell>
          <cell r="J168">
            <v>4</v>
          </cell>
          <cell r="K168">
            <v>2</v>
          </cell>
          <cell r="L168">
            <v>0</v>
          </cell>
          <cell r="M168">
            <v>6</v>
          </cell>
          <cell r="N168">
            <v>2.5</v>
          </cell>
          <cell r="O168">
            <v>10117.25</v>
          </cell>
          <cell r="P168">
            <v>0.8</v>
          </cell>
        </row>
        <row r="169">
          <cell r="A169">
            <v>6</v>
          </cell>
          <cell r="C169" t="str">
            <v>MULTIPLE SCLEROSIS &amp; OTHER DEMYELINATING DISEASES                                 </v>
          </cell>
          <cell r="D169">
            <v>0</v>
          </cell>
          <cell r="E169">
            <v>3</v>
          </cell>
          <cell r="F169">
            <v>2</v>
          </cell>
          <cell r="G169">
            <v>1</v>
          </cell>
          <cell r="H169">
            <v>0</v>
          </cell>
          <cell r="I169">
            <v>6</v>
          </cell>
          <cell r="J169">
            <v>1</v>
          </cell>
          <cell r="K169">
            <v>5</v>
          </cell>
          <cell r="L169">
            <v>0</v>
          </cell>
          <cell r="M169">
            <v>6</v>
          </cell>
          <cell r="N169">
            <v>4.2</v>
          </cell>
          <cell r="O169">
            <v>27902.42</v>
          </cell>
          <cell r="P169">
            <v>45.5</v>
          </cell>
        </row>
        <row r="170">
          <cell r="A170">
            <v>5.001</v>
          </cell>
          <cell r="C170" t="str">
            <v>LYMPHATIC &amp; OTHER MALIGNANCIES &amp; NEOPLASMS OF UNCERTAIN BEHAVIOR                  </v>
          </cell>
          <cell r="D170">
            <v>0</v>
          </cell>
          <cell r="E170">
            <v>0</v>
          </cell>
          <cell r="F170">
            <v>0</v>
          </cell>
          <cell r="G170">
            <v>5</v>
          </cell>
          <cell r="H170">
            <v>0</v>
          </cell>
          <cell r="I170">
            <v>5</v>
          </cell>
          <cell r="J170">
            <v>2</v>
          </cell>
          <cell r="K170">
            <v>3</v>
          </cell>
          <cell r="L170">
            <v>0</v>
          </cell>
          <cell r="M170">
            <v>5</v>
          </cell>
          <cell r="N170">
            <v>4.8</v>
          </cell>
          <cell r="O170">
            <v>35877.28</v>
          </cell>
          <cell r="P170">
            <v>76.4</v>
          </cell>
        </row>
        <row r="171">
          <cell r="A171">
            <v>5.001</v>
          </cell>
          <cell r="C171" t="str">
            <v>THREATENED ABORTION                                                               </v>
          </cell>
          <cell r="D171">
            <v>0</v>
          </cell>
          <cell r="E171">
            <v>5</v>
          </cell>
          <cell r="F171">
            <v>0</v>
          </cell>
          <cell r="G171">
            <v>0</v>
          </cell>
          <cell r="H171">
            <v>0</v>
          </cell>
          <cell r="I171">
            <v>5</v>
          </cell>
          <cell r="J171">
            <v>0</v>
          </cell>
          <cell r="K171">
            <v>5</v>
          </cell>
          <cell r="L171">
            <v>0</v>
          </cell>
          <cell r="M171">
            <v>5</v>
          </cell>
          <cell r="N171">
            <v>3.4</v>
          </cell>
          <cell r="O171">
            <v>9385.72</v>
          </cell>
          <cell r="P171">
            <v>27.2</v>
          </cell>
        </row>
        <row r="172">
          <cell r="A172">
            <v>5.001</v>
          </cell>
          <cell r="C172" t="str">
            <v>FEMALE REPRODUCTIVE SYSTEM INFECTIONS                                             </v>
          </cell>
          <cell r="D172">
            <v>0</v>
          </cell>
          <cell r="E172">
            <v>3</v>
          </cell>
          <cell r="F172">
            <v>1</v>
          </cell>
          <cell r="G172">
            <v>1</v>
          </cell>
          <cell r="H172">
            <v>0</v>
          </cell>
          <cell r="I172">
            <v>5</v>
          </cell>
          <cell r="J172">
            <v>0</v>
          </cell>
          <cell r="K172">
            <v>5</v>
          </cell>
          <cell r="L172">
            <v>0</v>
          </cell>
          <cell r="M172">
            <v>5</v>
          </cell>
          <cell r="N172">
            <v>2.4</v>
          </cell>
          <cell r="O172">
            <v>18182.46</v>
          </cell>
          <cell r="P172">
            <v>44.4</v>
          </cell>
        </row>
        <row r="173">
          <cell r="A173">
            <v>5.001</v>
          </cell>
          <cell r="C173" t="str">
            <v>UTERINE &amp; ADNEXA PROCEDURES FOR NON-OVARIAN &amp; NON-ADNEXAL MALIG                   </v>
          </cell>
          <cell r="D173">
            <v>0</v>
          </cell>
          <cell r="E173">
            <v>1</v>
          </cell>
          <cell r="F173">
            <v>3</v>
          </cell>
          <cell r="G173">
            <v>1</v>
          </cell>
          <cell r="H173">
            <v>0</v>
          </cell>
          <cell r="I173">
            <v>5</v>
          </cell>
          <cell r="J173">
            <v>0</v>
          </cell>
          <cell r="K173">
            <v>5</v>
          </cell>
          <cell r="L173">
            <v>0</v>
          </cell>
          <cell r="M173">
            <v>5</v>
          </cell>
          <cell r="N173">
            <v>3.4</v>
          </cell>
          <cell r="O173">
            <v>24047.58</v>
          </cell>
          <cell r="P173">
            <v>59.4</v>
          </cell>
        </row>
        <row r="174">
          <cell r="A174">
            <v>5.001</v>
          </cell>
          <cell r="C174" t="str">
            <v>THYROID, PARATHYROID &amp; THYROGLOSSAL PROCEDURES                                    </v>
          </cell>
          <cell r="D174">
            <v>0</v>
          </cell>
          <cell r="E174">
            <v>1</v>
          </cell>
          <cell r="F174">
            <v>1</v>
          </cell>
          <cell r="G174">
            <v>3</v>
          </cell>
          <cell r="H174">
            <v>0</v>
          </cell>
          <cell r="I174">
            <v>5</v>
          </cell>
          <cell r="J174">
            <v>2</v>
          </cell>
          <cell r="K174">
            <v>3</v>
          </cell>
          <cell r="L174">
            <v>0</v>
          </cell>
          <cell r="M174">
            <v>5</v>
          </cell>
          <cell r="N174">
            <v>1.2</v>
          </cell>
          <cell r="O174">
            <v>19996.86</v>
          </cell>
          <cell r="P174">
            <v>59.2</v>
          </cell>
        </row>
        <row r="175">
          <cell r="A175">
            <v>5</v>
          </cell>
          <cell r="C175" t="str">
            <v>MALFUNCTION, REACTION &amp; COMPLICATION OF GI DEVICE OR PROCEDURE                    </v>
          </cell>
          <cell r="D175">
            <v>0</v>
          </cell>
          <cell r="E175">
            <v>0</v>
          </cell>
          <cell r="F175">
            <v>1</v>
          </cell>
          <cell r="G175">
            <v>4</v>
          </cell>
          <cell r="H175">
            <v>0</v>
          </cell>
          <cell r="I175">
            <v>5</v>
          </cell>
          <cell r="J175">
            <v>2</v>
          </cell>
          <cell r="K175">
            <v>3</v>
          </cell>
          <cell r="L175">
            <v>0</v>
          </cell>
          <cell r="M175">
            <v>5</v>
          </cell>
          <cell r="N175">
            <v>4.2</v>
          </cell>
          <cell r="O175">
            <v>21515.18</v>
          </cell>
          <cell r="P175">
            <v>68.2</v>
          </cell>
        </row>
        <row r="176">
          <cell r="A176">
            <v>4.001</v>
          </cell>
          <cell r="C176" t="str">
            <v>HIV W ONE SIGNIF HIV COND OR W/O SIGNIF RELATED COND                              </v>
          </cell>
          <cell r="D176">
            <v>0</v>
          </cell>
          <cell r="E176">
            <v>0</v>
          </cell>
          <cell r="F176">
            <v>4</v>
          </cell>
          <cell r="G176">
            <v>0</v>
          </cell>
          <cell r="H176">
            <v>0</v>
          </cell>
          <cell r="I176">
            <v>4</v>
          </cell>
          <cell r="J176">
            <v>3</v>
          </cell>
          <cell r="K176">
            <v>1</v>
          </cell>
          <cell r="L176">
            <v>0</v>
          </cell>
          <cell r="M176">
            <v>4</v>
          </cell>
          <cell r="N176">
            <v>2.5</v>
          </cell>
          <cell r="O176">
            <v>17580.45</v>
          </cell>
          <cell r="P176">
            <v>53</v>
          </cell>
        </row>
        <row r="177">
          <cell r="A177">
            <v>4.001</v>
          </cell>
          <cell r="C177" t="str">
            <v>HIV W MULTIPLE MAJOR HIV RELATED CONDITIONS                                       </v>
          </cell>
          <cell r="D177">
            <v>0</v>
          </cell>
          <cell r="E177">
            <v>0</v>
          </cell>
          <cell r="F177">
            <v>2</v>
          </cell>
          <cell r="G177">
            <v>2</v>
          </cell>
          <cell r="H177">
            <v>0</v>
          </cell>
          <cell r="I177">
            <v>4</v>
          </cell>
          <cell r="J177">
            <v>3</v>
          </cell>
          <cell r="K177">
            <v>1</v>
          </cell>
          <cell r="L177">
            <v>0</v>
          </cell>
          <cell r="M177">
            <v>4</v>
          </cell>
          <cell r="N177">
            <v>12.8</v>
          </cell>
          <cell r="O177">
            <v>88204.73</v>
          </cell>
          <cell r="P177">
            <v>61</v>
          </cell>
        </row>
        <row r="178">
          <cell r="A178">
            <v>4.001</v>
          </cell>
          <cell r="C178" t="str">
            <v>OTHER INJURY, POISONING &amp; TOXIC EFFECT DIAGNOSES                                  </v>
          </cell>
          <cell r="D178">
            <v>0</v>
          </cell>
          <cell r="E178">
            <v>1</v>
          </cell>
          <cell r="F178">
            <v>2</v>
          </cell>
          <cell r="G178">
            <v>1</v>
          </cell>
          <cell r="H178">
            <v>0</v>
          </cell>
          <cell r="I178">
            <v>4</v>
          </cell>
          <cell r="J178">
            <v>3</v>
          </cell>
          <cell r="K178">
            <v>1</v>
          </cell>
          <cell r="L178">
            <v>0</v>
          </cell>
          <cell r="M178">
            <v>4</v>
          </cell>
          <cell r="N178">
            <v>3.8</v>
          </cell>
          <cell r="O178">
            <v>44785.15</v>
          </cell>
          <cell r="P178">
            <v>52.8</v>
          </cell>
        </row>
        <row r="179">
          <cell r="A179">
            <v>4.001</v>
          </cell>
          <cell r="C179" t="str">
            <v>ACUTE ANXIETY &amp; DELIRIUM STATES                                                   </v>
          </cell>
          <cell r="D179">
            <v>0</v>
          </cell>
          <cell r="E179">
            <v>0</v>
          </cell>
          <cell r="F179">
            <v>3</v>
          </cell>
          <cell r="G179">
            <v>1</v>
          </cell>
          <cell r="H179">
            <v>0</v>
          </cell>
          <cell r="I179">
            <v>4</v>
          </cell>
          <cell r="J179">
            <v>1</v>
          </cell>
          <cell r="K179">
            <v>3</v>
          </cell>
          <cell r="L179">
            <v>0</v>
          </cell>
          <cell r="M179">
            <v>4</v>
          </cell>
          <cell r="N179">
            <v>2</v>
          </cell>
          <cell r="O179">
            <v>15811.38</v>
          </cell>
          <cell r="P179">
            <v>59.8</v>
          </cell>
        </row>
        <row r="180">
          <cell r="A180">
            <v>4.001</v>
          </cell>
          <cell r="C180" t="str">
            <v>ACUTE LEUKEMIA                                                                    </v>
          </cell>
          <cell r="D180">
            <v>0</v>
          </cell>
          <cell r="E180">
            <v>0</v>
          </cell>
          <cell r="F180">
            <v>0</v>
          </cell>
          <cell r="G180">
            <v>4</v>
          </cell>
          <cell r="H180">
            <v>0</v>
          </cell>
          <cell r="I180">
            <v>4</v>
          </cell>
          <cell r="J180">
            <v>2</v>
          </cell>
          <cell r="K180">
            <v>2</v>
          </cell>
          <cell r="L180">
            <v>0</v>
          </cell>
          <cell r="M180">
            <v>4</v>
          </cell>
          <cell r="N180">
            <v>2.8</v>
          </cell>
          <cell r="O180">
            <v>19736.63</v>
          </cell>
          <cell r="P180">
            <v>74.3</v>
          </cell>
        </row>
        <row r="181">
          <cell r="A181">
            <v>4.001</v>
          </cell>
          <cell r="C181" t="str">
            <v>OTHER O.R. PROCEDURES FOR LYMPHATIC/HEMATOPOIETIC/OTHER NEOPLASMS                 </v>
          </cell>
          <cell r="D181">
            <v>0</v>
          </cell>
          <cell r="E181">
            <v>0</v>
          </cell>
          <cell r="F181">
            <v>1</v>
          </cell>
          <cell r="G181">
            <v>3</v>
          </cell>
          <cell r="H181">
            <v>0</v>
          </cell>
          <cell r="I181">
            <v>4</v>
          </cell>
          <cell r="J181">
            <v>3</v>
          </cell>
          <cell r="K181">
            <v>1</v>
          </cell>
          <cell r="L181">
            <v>0</v>
          </cell>
          <cell r="M181">
            <v>4</v>
          </cell>
          <cell r="N181">
            <v>3</v>
          </cell>
          <cell r="O181">
            <v>30614.8</v>
          </cell>
          <cell r="P181">
            <v>61</v>
          </cell>
        </row>
        <row r="182">
          <cell r="A182">
            <v>4.001</v>
          </cell>
          <cell r="C182" t="str">
            <v>ABORTION W/O D&amp;C, ASPIRATION CURETTAGE OR HYSTEROTOMY                             </v>
          </cell>
          <cell r="D182">
            <v>0</v>
          </cell>
          <cell r="E182">
            <v>4</v>
          </cell>
          <cell r="F182">
            <v>0</v>
          </cell>
          <cell r="G182">
            <v>0</v>
          </cell>
          <cell r="H182">
            <v>0</v>
          </cell>
          <cell r="I182">
            <v>4</v>
          </cell>
          <cell r="J182">
            <v>0</v>
          </cell>
          <cell r="K182">
            <v>4</v>
          </cell>
          <cell r="L182">
            <v>0</v>
          </cell>
          <cell r="M182">
            <v>4</v>
          </cell>
          <cell r="N182">
            <v>2</v>
          </cell>
          <cell r="O182">
            <v>12621.33</v>
          </cell>
          <cell r="P182">
            <v>27.5</v>
          </cell>
        </row>
        <row r="183">
          <cell r="A183">
            <v>4.001</v>
          </cell>
          <cell r="C183" t="str">
            <v>NEPHRITIS &amp; NEPHROSIS                                                             </v>
          </cell>
          <cell r="D183">
            <v>0</v>
          </cell>
          <cell r="E183">
            <v>1</v>
          </cell>
          <cell r="F183">
            <v>1</v>
          </cell>
          <cell r="G183">
            <v>2</v>
          </cell>
          <cell r="H183">
            <v>0</v>
          </cell>
          <cell r="I183">
            <v>4</v>
          </cell>
          <cell r="J183">
            <v>1</v>
          </cell>
          <cell r="K183">
            <v>3</v>
          </cell>
          <cell r="L183">
            <v>0</v>
          </cell>
          <cell r="M183">
            <v>4</v>
          </cell>
          <cell r="N183">
            <v>9</v>
          </cell>
          <cell r="O183">
            <v>46090.85</v>
          </cell>
          <cell r="P183">
            <v>62.5</v>
          </cell>
        </row>
        <row r="184">
          <cell r="A184">
            <v>4.001</v>
          </cell>
          <cell r="C184" t="str">
            <v>RENAL DIALYSIS ACCESS DEVICE PROCEDURE ONLY                                       </v>
          </cell>
          <cell r="D184">
            <v>0</v>
          </cell>
          <cell r="E184">
            <v>2</v>
          </cell>
          <cell r="F184">
            <v>1</v>
          </cell>
          <cell r="G184">
            <v>1</v>
          </cell>
          <cell r="H184">
            <v>0</v>
          </cell>
          <cell r="I184">
            <v>4</v>
          </cell>
          <cell r="J184">
            <v>2</v>
          </cell>
          <cell r="K184">
            <v>2</v>
          </cell>
          <cell r="L184">
            <v>0</v>
          </cell>
          <cell r="M184">
            <v>4</v>
          </cell>
          <cell r="N184">
            <v>22.5</v>
          </cell>
          <cell r="O184">
            <v>82014.95</v>
          </cell>
          <cell r="P184">
            <v>48.3</v>
          </cell>
        </row>
        <row r="185">
          <cell r="A185">
            <v>4.001</v>
          </cell>
          <cell r="C185" t="str">
            <v>MAJOR BLADDER PROCEDURES                                                          </v>
          </cell>
          <cell r="D185">
            <v>0</v>
          </cell>
          <cell r="E185">
            <v>0</v>
          </cell>
          <cell r="F185">
            <v>2</v>
          </cell>
          <cell r="G185">
            <v>2</v>
          </cell>
          <cell r="H185">
            <v>0</v>
          </cell>
          <cell r="I185">
            <v>4</v>
          </cell>
          <cell r="J185">
            <v>2</v>
          </cell>
          <cell r="K185">
            <v>2</v>
          </cell>
          <cell r="L185">
            <v>0</v>
          </cell>
          <cell r="M185">
            <v>4</v>
          </cell>
          <cell r="N185">
            <v>7.5</v>
          </cell>
          <cell r="O185">
            <v>93339.28</v>
          </cell>
          <cell r="P185">
            <v>63.3</v>
          </cell>
        </row>
        <row r="186">
          <cell r="A186">
            <v>4.001</v>
          </cell>
          <cell r="C186" t="str">
            <v>OTHER SKIN, SUBCUTANEOUS TISSUE &amp; BREAST DISORDERS                                </v>
          </cell>
          <cell r="D186">
            <v>0</v>
          </cell>
          <cell r="E186">
            <v>0</v>
          </cell>
          <cell r="F186">
            <v>2</v>
          </cell>
          <cell r="G186">
            <v>2</v>
          </cell>
          <cell r="H186">
            <v>0</v>
          </cell>
          <cell r="I186">
            <v>4</v>
          </cell>
          <cell r="J186">
            <v>0</v>
          </cell>
          <cell r="K186">
            <v>4</v>
          </cell>
          <cell r="L186">
            <v>0</v>
          </cell>
          <cell r="M186">
            <v>4</v>
          </cell>
          <cell r="N186">
            <v>3.5</v>
          </cell>
          <cell r="O186">
            <v>10994.35</v>
          </cell>
          <cell r="P186">
            <v>67.5</v>
          </cell>
        </row>
        <row r="187">
          <cell r="A187">
            <v>4.001</v>
          </cell>
          <cell r="C187" t="str">
            <v>CARDIOMYOPATHY                                                                    </v>
          </cell>
          <cell r="D187">
            <v>0</v>
          </cell>
          <cell r="E187">
            <v>1</v>
          </cell>
          <cell r="F187">
            <v>2</v>
          </cell>
          <cell r="G187">
            <v>1</v>
          </cell>
          <cell r="H187">
            <v>0</v>
          </cell>
          <cell r="I187">
            <v>4</v>
          </cell>
          <cell r="J187">
            <v>3</v>
          </cell>
          <cell r="K187">
            <v>1</v>
          </cell>
          <cell r="L187">
            <v>0</v>
          </cell>
          <cell r="M187">
            <v>4</v>
          </cell>
          <cell r="N187">
            <v>4.8</v>
          </cell>
          <cell r="O187">
            <v>24013.7</v>
          </cell>
          <cell r="P187">
            <v>59.3</v>
          </cell>
        </row>
        <row r="188">
          <cell r="A188">
            <v>4.001</v>
          </cell>
          <cell r="C188" t="str">
            <v>CARDIAC STRUCTURAL &amp; VALVULAR DISORDERS                                           </v>
          </cell>
          <cell r="D188">
            <v>0</v>
          </cell>
          <cell r="E188">
            <v>1</v>
          </cell>
          <cell r="F188">
            <v>1</v>
          </cell>
          <cell r="G188">
            <v>2</v>
          </cell>
          <cell r="H188">
            <v>0</v>
          </cell>
          <cell r="I188">
            <v>4</v>
          </cell>
          <cell r="J188">
            <v>2</v>
          </cell>
          <cell r="K188">
            <v>2</v>
          </cell>
          <cell r="L188">
            <v>0</v>
          </cell>
          <cell r="M188">
            <v>4</v>
          </cell>
          <cell r="N188">
            <v>3</v>
          </cell>
          <cell r="O188">
            <v>16771.22</v>
          </cell>
          <cell r="P188">
            <v>60.8</v>
          </cell>
        </row>
        <row r="189">
          <cell r="A189">
            <v>4.001</v>
          </cell>
          <cell r="C189" t="str">
            <v>OTHER CARDIOTHORACIC PROCEDURES                                                   </v>
          </cell>
          <cell r="D189">
            <v>0</v>
          </cell>
          <cell r="E189">
            <v>0</v>
          </cell>
          <cell r="F189">
            <v>1</v>
          </cell>
          <cell r="G189">
            <v>3</v>
          </cell>
          <cell r="H189">
            <v>0</v>
          </cell>
          <cell r="I189">
            <v>4</v>
          </cell>
          <cell r="J189">
            <v>1</v>
          </cell>
          <cell r="K189">
            <v>3</v>
          </cell>
          <cell r="L189">
            <v>0</v>
          </cell>
          <cell r="M189">
            <v>4</v>
          </cell>
          <cell r="N189">
            <v>14</v>
          </cell>
          <cell r="O189">
            <v>165219.48</v>
          </cell>
          <cell r="P189">
            <v>65.5</v>
          </cell>
        </row>
        <row r="190">
          <cell r="A190">
            <v>4.001</v>
          </cell>
          <cell r="C190" t="str">
            <v>BACTERIAL &amp; TUBERCULOUS INFECTIONS OF NERVOUS SYSTEM                              </v>
          </cell>
          <cell r="D190">
            <v>0</v>
          </cell>
          <cell r="E190">
            <v>0</v>
          </cell>
          <cell r="F190">
            <v>1</v>
          </cell>
          <cell r="G190">
            <v>3</v>
          </cell>
          <cell r="H190">
            <v>0</v>
          </cell>
          <cell r="I190">
            <v>4</v>
          </cell>
          <cell r="J190">
            <v>2</v>
          </cell>
          <cell r="K190">
            <v>2</v>
          </cell>
          <cell r="L190">
            <v>0</v>
          </cell>
          <cell r="M190">
            <v>4</v>
          </cell>
          <cell r="N190">
            <v>4.5</v>
          </cell>
          <cell r="O190">
            <v>48640.93</v>
          </cell>
          <cell r="P190">
            <v>71</v>
          </cell>
        </row>
        <row r="191">
          <cell r="A191">
            <v>4</v>
          </cell>
          <cell r="C191" t="str">
            <v>TRACHEOSTOMY W LONG TERM MECHANICAL VENTILATION W/O EXTENSIVE PROCEDURE           </v>
          </cell>
          <cell r="D191">
            <v>0</v>
          </cell>
          <cell r="E191">
            <v>1</v>
          </cell>
          <cell r="F191">
            <v>2</v>
          </cell>
          <cell r="G191">
            <v>1</v>
          </cell>
          <cell r="H191">
            <v>0</v>
          </cell>
          <cell r="I191">
            <v>4</v>
          </cell>
          <cell r="J191">
            <v>3</v>
          </cell>
          <cell r="K191">
            <v>1</v>
          </cell>
          <cell r="L191">
            <v>0</v>
          </cell>
          <cell r="M191">
            <v>4</v>
          </cell>
          <cell r="N191">
            <v>39</v>
          </cell>
          <cell r="O191">
            <v>365412.7</v>
          </cell>
          <cell r="P191">
            <v>57.3</v>
          </cell>
        </row>
        <row r="192">
          <cell r="A192">
            <v>3.001</v>
          </cell>
          <cell r="C192" t="str">
            <v>MULTIPLE SIGNIFICANT TRAUMA W/O O.R. PROCEDURE                                    </v>
          </cell>
          <cell r="D192">
            <v>0</v>
          </cell>
          <cell r="E192">
            <v>0</v>
          </cell>
          <cell r="F192">
            <v>1</v>
          </cell>
          <cell r="G192">
            <v>2</v>
          </cell>
          <cell r="H192">
            <v>0</v>
          </cell>
          <cell r="I192">
            <v>3</v>
          </cell>
          <cell r="J192">
            <v>1</v>
          </cell>
          <cell r="K192">
            <v>2</v>
          </cell>
          <cell r="L192">
            <v>0</v>
          </cell>
          <cell r="M192">
            <v>3</v>
          </cell>
          <cell r="N192">
            <v>3.7</v>
          </cell>
          <cell r="O192">
            <v>22602.9</v>
          </cell>
          <cell r="P192">
            <v>74.7</v>
          </cell>
        </row>
        <row r="193">
          <cell r="A193">
            <v>3.001</v>
          </cell>
          <cell r="C193" t="str">
            <v>OTHER DRUG ABUSE &amp; DEPENDENCE                                                     </v>
          </cell>
          <cell r="D193">
            <v>0</v>
          </cell>
          <cell r="E193">
            <v>1</v>
          </cell>
          <cell r="F193">
            <v>1</v>
          </cell>
          <cell r="G193">
            <v>1</v>
          </cell>
          <cell r="H193">
            <v>0</v>
          </cell>
          <cell r="I193">
            <v>3</v>
          </cell>
          <cell r="J193">
            <v>2</v>
          </cell>
          <cell r="K193">
            <v>1</v>
          </cell>
          <cell r="L193">
            <v>0</v>
          </cell>
          <cell r="M193">
            <v>3</v>
          </cell>
          <cell r="N193">
            <v>3</v>
          </cell>
          <cell r="O193">
            <v>15234.53</v>
          </cell>
          <cell r="P193">
            <v>58.3</v>
          </cell>
        </row>
        <row r="194">
          <cell r="A194">
            <v>3.001</v>
          </cell>
          <cell r="C194" t="str">
            <v>D&amp;C, ASPIRATION CURETTAGE OR HYSTEROTOMY FOR OBSTETRIC DIAGNOSES                  </v>
          </cell>
          <cell r="D194">
            <v>0</v>
          </cell>
          <cell r="E194">
            <v>3</v>
          </cell>
          <cell r="F194">
            <v>0</v>
          </cell>
          <cell r="G194">
            <v>0</v>
          </cell>
          <cell r="H194">
            <v>0</v>
          </cell>
          <cell r="I194">
            <v>3</v>
          </cell>
          <cell r="J194">
            <v>0</v>
          </cell>
          <cell r="K194">
            <v>3</v>
          </cell>
          <cell r="L194">
            <v>0</v>
          </cell>
          <cell r="M194">
            <v>3</v>
          </cell>
          <cell r="N194">
            <v>1.3</v>
          </cell>
          <cell r="O194">
            <v>14282.83</v>
          </cell>
          <cell r="P194">
            <v>27.7</v>
          </cell>
        </row>
        <row r="195">
          <cell r="A195">
            <v>3.001</v>
          </cell>
          <cell r="C195" t="str">
            <v>VAGINAL DELIVERY W STERILIZATION &amp;/OR D&amp;C                                         </v>
          </cell>
          <cell r="D195">
            <v>0</v>
          </cell>
          <cell r="E195">
            <v>3</v>
          </cell>
          <cell r="F195">
            <v>0</v>
          </cell>
          <cell r="G195">
            <v>0</v>
          </cell>
          <cell r="H195">
            <v>0</v>
          </cell>
          <cell r="I195">
            <v>3</v>
          </cell>
          <cell r="J195">
            <v>0</v>
          </cell>
          <cell r="K195">
            <v>3</v>
          </cell>
          <cell r="L195">
            <v>0</v>
          </cell>
          <cell r="M195">
            <v>3</v>
          </cell>
          <cell r="N195">
            <v>1.7</v>
          </cell>
          <cell r="O195">
            <v>12743.5</v>
          </cell>
          <cell r="P195">
            <v>27.3</v>
          </cell>
        </row>
        <row r="196">
          <cell r="A196">
            <v>3.001</v>
          </cell>
          <cell r="C196" t="str">
            <v>MENSTRUAL &amp; OTHER FEMALE REPRODUCTIVE SYSTEM DISORDERS                            </v>
          </cell>
          <cell r="D196">
            <v>1</v>
          </cell>
          <cell r="E196">
            <v>1</v>
          </cell>
          <cell r="F196">
            <v>1</v>
          </cell>
          <cell r="G196">
            <v>0</v>
          </cell>
          <cell r="H196">
            <v>0</v>
          </cell>
          <cell r="I196">
            <v>3</v>
          </cell>
          <cell r="J196">
            <v>0</v>
          </cell>
          <cell r="K196">
            <v>3</v>
          </cell>
          <cell r="L196">
            <v>0</v>
          </cell>
          <cell r="M196">
            <v>3</v>
          </cell>
          <cell r="N196">
            <v>1.3</v>
          </cell>
          <cell r="O196">
            <v>15535.27</v>
          </cell>
          <cell r="P196">
            <v>29.7</v>
          </cell>
        </row>
        <row r="197">
          <cell r="A197">
            <v>3.001</v>
          </cell>
          <cell r="C197" t="str">
            <v>OTHER FEMALE REPRODUCTIVE SYSTEM &amp; RELATED PROCEDURES                             </v>
          </cell>
          <cell r="D197">
            <v>0</v>
          </cell>
          <cell r="E197">
            <v>0</v>
          </cell>
          <cell r="F197">
            <v>1</v>
          </cell>
          <cell r="G197">
            <v>2</v>
          </cell>
          <cell r="H197">
            <v>0</v>
          </cell>
          <cell r="I197">
            <v>3</v>
          </cell>
          <cell r="J197">
            <v>0</v>
          </cell>
          <cell r="K197">
            <v>3</v>
          </cell>
          <cell r="L197">
            <v>0</v>
          </cell>
          <cell r="M197">
            <v>3</v>
          </cell>
          <cell r="N197">
            <v>5.3</v>
          </cell>
          <cell r="O197">
            <v>54506.87</v>
          </cell>
          <cell r="P197">
            <v>67.7</v>
          </cell>
        </row>
        <row r="198">
          <cell r="A198">
            <v>3.001</v>
          </cell>
          <cell r="C198" t="str">
            <v>TRANSURETHRAL PROSTATECTOMY                                                       </v>
          </cell>
          <cell r="D198">
            <v>0</v>
          </cell>
          <cell r="E198">
            <v>0</v>
          </cell>
          <cell r="F198">
            <v>1</v>
          </cell>
          <cell r="G198">
            <v>2</v>
          </cell>
          <cell r="H198">
            <v>0</v>
          </cell>
          <cell r="I198">
            <v>3</v>
          </cell>
          <cell r="J198">
            <v>3</v>
          </cell>
          <cell r="K198">
            <v>0</v>
          </cell>
          <cell r="L198">
            <v>0</v>
          </cell>
          <cell r="M198">
            <v>3</v>
          </cell>
          <cell r="N198">
            <v>3.3</v>
          </cell>
          <cell r="O198">
            <v>25165.3</v>
          </cell>
          <cell r="P198">
            <v>69.3</v>
          </cell>
        </row>
        <row r="199">
          <cell r="A199">
            <v>3.001</v>
          </cell>
          <cell r="C199" t="str">
            <v>PROCEDURES FOR OBESITY                                                            </v>
          </cell>
          <cell r="D199">
            <v>0</v>
          </cell>
          <cell r="E199">
            <v>1</v>
          </cell>
          <cell r="F199">
            <v>1</v>
          </cell>
          <cell r="G199">
            <v>1</v>
          </cell>
          <cell r="H199">
            <v>0</v>
          </cell>
          <cell r="I199">
            <v>3</v>
          </cell>
          <cell r="J199">
            <v>1</v>
          </cell>
          <cell r="K199">
            <v>2</v>
          </cell>
          <cell r="L199">
            <v>0</v>
          </cell>
          <cell r="M199">
            <v>3</v>
          </cell>
          <cell r="N199">
            <v>1</v>
          </cell>
          <cell r="O199">
            <v>26379.83</v>
          </cell>
          <cell r="P199">
            <v>48</v>
          </cell>
        </row>
        <row r="200">
          <cell r="A200">
            <v>3.001</v>
          </cell>
          <cell r="C200" t="str">
            <v>MAJOR SKIN DISORDERS                                                              </v>
          </cell>
          <cell r="D200">
            <v>0</v>
          </cell>
          <cell r="E200">
            <v>1</v>
          </cell>
          <cell r="F200">
            <v>0</v>
          </cell>
          <cell r="G200">
            <v>2</v>
          </cell>
          <cell r="H200">
            <v>0</v>
          </cell>
          <cell r="I200">
            <v>3</v>
          </cell>
          <cell r="J200">
            <v>1</v>
          </cell>
          <cell r="K200">
            <v>2</v>
          </cell>
          <cell r="L200">
            <v>0</v>
          </cell>
          <cell r="M200">
            <v>3</v>
          </cell>
          <cell r="N200">
            <v>2.3</v>
          </cell>
          <cell r="O200">
            <v>12842.93</v>
          </cell>
          <cell r="P200">
            <v>60.7</v>
          </cell>
        </row>
        <row r="201">
          <cell r="A201">
            <v>3.001</v>
          </cell>
          <cell r="C201" t="str">
            <v>MAJOR ESOPHAGEAL DISORDERS                                                        </v>
          </cell>
          <cell r="D201">
            <v>0</v>
          </cell>
          <cell r="E201">
            <v>0</v>
          </cell>
          <cell r="F201">
            <v>2</v>
          </cell>
          <cell r="G201">
            <v>1</v>
          </cell>
          <cell r="H201">
            <v>0</v>
          </cell>
          <cell r="I201">
            <v>3</v>
          </cell>
          <cell r="J201">
            <v>1</v>
          </cell>
          <cell r="K201">
            <v>2</v>
          </cell>
          <cell r="L201">
            <v>0</v>
          </cell>
          <cell r="M201">
            <v>3</v>
          </cell>
          <cell r="N201">
            <v>5.3</v>
          </cell>
          <cell r="O201">
            <v>75730.63</v>
          </cell>
          <cell r="P201">
            <v>58.7</v>
          </cell>
        </row>
        <row r="202">
          <cell r="A202">
            <v>3.001</v>
          </cell>
          <cell r="C202" t="str">
            <v>ANAL PROCEDURES                                                                   </v>
          </cell>
          <cell r="D202">
            <v>0</v>
          </cell>
          <cell r="E202">
            <v>0</v>
          </cell>
          <cell r="F202">
            <v>3</v>
          </cell>
          <cell r="G202">
            <v>0</v>
          </cell>
          <cell r="H202">
            <v>0</v>
          </cell>
          <cell r="I202">
            <v>3</v>
          </cell>
          <cell r="J202">
            <v>2</v>
          </cell>
          <cell r="K202">
            <v>1</v>
          </cell>
          <cell r="L202">
            <v>0</v>
          </cell>
          <cell r="M202">
            <v>3</v>
          </cell>
          <cell r="N202">
            <v>3.3</v>
          </cell>
          <cell r="O202">
            <v>24269.8</v>
          </cell>
          <cell r="P202">
            <v>61</v>
          </cell>
        </row>
        <row r="203">
          <cell r="A203">
            <v>3.001</v>
          </cell>
          <cell r="C203" t="str">
            <v>CARDIAC PACEMAKER &amp; DEFIBRILLATOR DEVICE REPLACEMENT                              </v>
          </cell>
          <cell r="D203">
            <v>0</v>
          </cell>
          <cell r="E203">
            <v>0</v>
          </cell>
          <cell r="F203">
            <v>1</v>
          </cell>
          <cell r="G203">
            <v>2</v>
          </cell>
          <cell r="H203">
            <v>0</v>
          </cell>
          <cell r="I203">
            <v>3</v>
          </cell>
          <cell r="J203">
            <v>2</v>
          </cell>
          <cell r="K203">
            <v>1</v>
          </cell>
          <cell r="L203">
            <v>0</v>
          </cell>
          <cell r="M203">
            <v>3</v>
          </cell>
          <cell r="N203">
            <v>4.7</v>
          </cell>
          <cell r="O203">
            <v>46192.2</v>
          </cell>
          <cell r="P203">
            <v>76</v>
          </cell>
        </row>
        <row r="204">
          <cell r="A204">
            <v>3.001</v>
          </cell>
          <cell r="C204" t="str">
            <v>EAR, NOSE, MOUTH, THROAT, CRANIAL/FACIAL MALIGNANCIES                             </v>
          </cell>
          <cell r="D204">
            <v>0</v>
          </cell>
          <cell r="E204">
            <v>0</v>
          </cell>
          <cell r="F204">
            <v>1</v>
          </cell>
          <cell r="G204">
            <v>2</v>
          </cell>
          <cell r="H204">
            <v>0</v>
          </cell>
          <cell r="I204">
            <v>3</v>
          </cell>
          <cell r="J204">
            <v>2</v>
          </cell>
          <cell r="K204">
            <v>1</v>
          </cell>
          <cell r="L204">
            <v>0</v>
          </cell>
          <cell r="M204">
            <v>3</v>
          </cell>
          <cell r="N204">
            <v>13</v>
          </cell>
          <cell r="O204">
            <v>91385.1</v>
          </cell>
          <cell r="P204">
            <v>69</v>
          </cell>
        </row>
        <row r="205">
          <cell r="A205">
            <v>3.001</v>
          </cell>
          <cell r="C205" t="str">
            <v>EYE DISORDERS EXCEPT MAJOR INFECTIONS                                             </v>
          </cell>
          <cell r="D205">
            <v>0</v>
          </cell>
          <cell r="E205">
            <v>2</v>
          </cell>
          <cell r="F205">
            <v>0</v>
          </cell>
          <cell r="G205">
            <v>1</v>
          </cell>
          <cell r="H205">
            <v>0</v>
          </cell>
          <cell r="I205">
            <v>3</v>
          </cell>
          <cell r="J205">
            <v>2</v>
          </cell>
          <cell r="K205">
            <v>1</v>
          </cell>
          <cell r="L205">
            <v>0</v>
          </cell>
          <cell r="M205">
            <v>3</v>
          </cell>
          <cell r="N205">
            <v>1.3</v>
          </cell>
          <cell r="O205">
            <v>19058.5</v>
          </cell>
          <cell r="P205">
            <v>47.7</v>
          </cell>
        </row>
        <row r="206">
          <cell r="A206">
            <v>3.001</v>
          </cell>
          <cell r="C206" t="str">
            <v>NON-BACTERIAL INFECTIONS OF NERVOUS SYSTEM EXC VIRAL MENINGITIS                   </v>
          </cell>
          <cell r="D206">
            <v>0</v>
          </cell>
          <cell r="E206">
            <v>0</v>
          </cell>
          <cell r="F206">
            <v>2</v>
          </cell>
          <cell r="G206">
            <v>1</v>
          </cell>
          <cell r="H206">
            <v>0</v>
          </cell>
          <cell r="I206">
            <v>3</v>
          </cell>
          <cell r="J206">
            <v>1</v>
          </cell>
          <cell r="K206">
            <v>2</v>
          </cell>
          <cell r="L206">
            <v>0</v>
          </cell>
          <cell r="M206">
            <v>3</v>
          </cell>
          <cell r="N206">
            <v>7</v>
          </cell>
          <cell r="O206">
            <v>37375.57</v>
          </cell>
          <cell r="P206">
            <v>60.7</v>
          </cell>
        </row>
        <row r="207">
          <cell r="A207">
            <v>3.001</v>
          </cell>
          <cell r="C207" t="str">
            <v>OTHER NERVOUS SYSTEM &amp; RELATED PROCEDURES                                         </v>
          </cell>
          <cell r="D207">
            <v>0</v>
          </cell>
          <cell r="E207">
            <v>0</v>
          </cell>
          <cell r="F207">
            <v>0</v>
          </cell>
          <cell r="G207">
            <v>3</v>
          </cell>
          <cell r="H207">
            <v>0</v>
          </cell>
          <cell r="I207">
            <v>3</v>
          </cell>
          <cell r="J207">
            <v>2</v>
          </cell>
          <cell r="K207">
            <v>1</v>
          </cell>
          <cell r="L207">
            <v>0</v>
          </cell>
          <cell r="M207">
            <v>3</v>
          </cell>
          <cell r="N207">
            <v>5.7</v>
          </cell>
          <cell r="O207">
            <v>46505.37</v>
          </cell>
          <cell r="P207">
            <v>73.3</v>
          </cell>
        </row>
        <row r="208">
          <cell r="A208">
            <v>3</v>
          </cell>
          <cell r="C208" t="str">
            <v>TRACHEOSTOMY W LONG TERM MECHANICAL VENTILATION W EXTENSIVE PROCEDURE             </v>
          </cell>
          <cell r="D208">
            <v>0</v>
          </cell>
          <cell r="E208">
            <v>1</v>
          </cell>
          <cell r="F208">
            <v>1</v>
          </cell>
          <cell r="G208">
            <v>1</v>
          </cell>
          <cell r="H208">
            <v>0</v>
          </cell>
          <cell r="I208">
            <v>3</v>
          </cell>
          <cell r="J208">
            <v>1</v>
          </cell>
          <cell r="K208">
            <v>2</v>
          </cell>
          <cell r="L208">
            <v>0</v>
          </cell>
          <cell r="M208">
            <v>3</v>
          </cell>
          <cell r="N208">
            <v>46.7</v>
          </cell>
          <cell r="O208">
            <v>436629.4</v>
          </cell>
          <cell r="P208">
            <v>49</v>
          </cell>
        </row>
        <row r="209">
          <cell r="A209">
            <v>2.001</v>
          </cell>
          <cell r="C209" t="str">
            <v>OPIOID ABUSE &amp; DEPENDENCE                                                         </v>
          </cell>
          <cell r="D209">
            <v>0</v>
          </cell>
          <cell r="E209">
            <v>0</v>
          </cell>
          <cell r="F209">
            <v>2</v>
          </cell>
          <cell r="G209">
            <v>0</v>
          </cell>
          <cell r="H209">
            <v>0</v>
          </cell>
          <cell r="I209">
            <v>2</v>
          </cell>
          <cell r="J209">
            <v>1</v>
          </cell>
          <cell r="K209">
            <v>1</v>
          </cell>
          <cell r="L209">
            <v>0</v>
          </cell>
          <cell r="M209">
            <v>2</v>
          </cell>
          <cell r="N209">
            <v>1.5</v>
          </cell>
          <cell r="O209">
            <v>11842.7</v>
          </cell>
          <cell r="P209">
            <v>57.5</v>
          </cell>
        </row>
        <row r="210">
          <cell r="A210">
            <v>2.001</v>
          </cell>
          <cell r="C210" t="str">
            <v>VIRAL ILLNESS                                                                     </v>
          </cell>
          <cell r="D210">
            <v>2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</v>
          </cell>
          <cell r="J210">
            <v>1</v>
          </cell>
          <cell r="K210">
            <v>1</v>
          </cell>
          <cell r="L210">
            <v>0</v>
          </cell>
          <cell r="M210">
            <v>2</v>
          </cell>
          <cell r="N210">
            <v>2</v>
          </cell>
          <cell r="O210">
            <v>5960.95</v>
          </cell>
          <cell r="P210">
            <v>0.5</v>
          </cell>
        </row>
        <row r="211">
          <cell r="A211">
            <v>2.001</v>
          </cell>
          <cell r="C211" t="str">
            <v>MAJOR O.R. PROCEDURES FOR LYMPHATIC/HEMATOPOIETIC/OTHER NEOPLASMS                 </v>
          </cell>
          <cell r="D211">
            <v>0</v>
          </cell>
          <cell r="E211">
            <v>0</v>
          </cell>
          <cell r="F211">
            <v>0</v>
          </cell>
          <cell r="G211">
            <v>2</v>
          </cell>
          <cell r="H211">
            <v>0</v>
          </cell>
          <cell r="I211">
            <v>2</v>
          </cell>
          <cell r="J211">
            <v>1</v>
          </cell>
          <cell r="K211">
            <v>1</v>
          </cell>
          <cell r="L211">
            <v>0</v>
          </cell>
          <cell r="M211">
            <v>2</v>
          </cell>
          <cell r="N211">
            <v>6.5</v>
          </cell>
          <cell r="O211">
            <v>51532.55</v>
          </cell>
          <cell r="P211">
            <v>68.5</v>
          </cell>
        </row>
        <row r="212">
          <cell r="A212">
            <v>2.001</v>
          </cell>
          <cell r="C212" t="str">
            <v>SPLENECTOMY                                                                       </v>
          </cell>
          <cell r="D212">
            <v>0</v>
          </cell>
          <cell r="E212">
            <v>1</v>
          </cell>
          <cell r="F212">
            <v>1</v>
          </cell>
          <cell r="G212">
            <v>0</v>
          </cell>
          <cell r="H212">
            <v>0</v>
          </cell>
          <cell r="I212">
            <v>2</v>
          </cell>
          <cell r="J212">
            <v>0</v>
          </cell>
          <cell r="K212">
            <v>2</v>
          </cell>
          <cell r="L212">
            <v>0</v>
          </cell>
          <cell r="M212">
            <v>2</v>
          </cell>
          <cell r="N212">
            <v>6.5</v>
          </cell>
          <cell r="O212">
            <v>60542.4</v>
          </cell>
          <cell r="P212">
            <v>48</v>
          </cell>
        </row>
        <row r="213">
          <cell r="A213">
            <v>2.001</v>
          </cell>
          <cell r="C213" t="str">
            <v>NEONATE, BIRTHWT &gt;2499G W RESP DIST SYND/OTH MAJ RESP COND                        </v>
          </cell>
          <cell r="D213">
            <v>2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2</v>
          </cell>
          <cell r="J213">
            <v>1</v>
          </cell>
          <cell r="K213">
            <v>1</v>
          </cell>
          <cell r="L213">
            <v>0</v>
          </cell>
          <cell r="M213">
            <v>2</v>
          </cell>
          <cell r="N213">
            <v>2</v>
          </cell>
          <cell r="O213">
            <v>7755.45</v>
          </cell>
          <cell r="P213">
            <v>0</v>
          </cell>
        </row>
        <row r="214">
          <cell r="A214">
            <v>2.001</v>
          </cell>
          <cell r="C214" t="str">
            <v>FALSE LABOR                                                                       </v>
          </cell>
          <cell r="D214">
            <v>0</v>
          </cell>
          <cell r="E214">
            <v>2</v>
          </cell>
          <cell r="F214">
            <v>0</v>
          </cell>
          <cell r="G214">
            <v>0</v>
          </cell>
          <cell r="H214">
            <v>0</v>
          </cell>
          <cell r="I214">
            <v>2</v>
          </cell>
          <cell r="J214">
            <v>0</v>
          </cell>
          <cell r="K214">
            <v>2</v>
          </cell>
          <cell r="L214">
            <v>0</v>
          </cell>
          <cell r="M214">
            <v>2</v>
          </cell>
          <cell r="N214">
            <v>1</v>
          </cell>
          <cell r="O214">
            <v>1481.2</v>
          </cell>
          <cell r="P214">
            <v>20</v>
          </cell>
        </row>
        <row r="215">
          <cell r="A215">
            <v>2.001</v>
          </cell>
          <cell r="C215" t="str">
            <v>OTHER O.R. PROC FOR OBSTETRIC DIAGNOSES EXCEPT DELIVERY DIAGNOSES                 </v>
          </cell>
          <cell r="D215">
            <v>0</v>
          </cell>
          <cell r="E215">
            <v>2</v>
          </cell>
          <cell r="F215">
            <v>0</v>
          </cell>
          <cell r="G215">
            <v>0</v>
          </cell>
          <cell r="H215">
            <v>0</v>
          </cell>
          <cell r="I215">
            <v>2</v>
          </cell>
          <cell r="J215">
            <v>0</v>
          </cell>
          <cell r="K215">
            <v>2</v>
          </cell>
          <cell r="L215">
            <v>0</v>
          </cell>
          <cell r="M215">
            <v>2</v>
          </cell>
          <cell r="N215">
            <v>5</v>
          </cell>
          <cell r="O215">
            <v>26321.15</v>
          </cell>
          <cell r="P215">
            <v>36.5</v>
          </cell>
        </row>
        <row r="216">
          <cell r="A216">
            <v>2.001</v>
          </cell>
          <cell r="C216" t="str">
            <v>ECTOPIC PREGNANCY PROCEDURE                                                       </v>
          </cell>
          <cell r="D216">
            <v>0</v>
          </cell>
          <cell r="E216">
            <v>2</v>
          </cell>
          <cell r="F216">
            <v>0</v>
          </cell>
          <cell r="G216">
            <v>0</v>
          </cell>
          <cell r="H216">
            <v>0</v>
          </cell>
          <cell r="I216">
            <v>2</v>
          </cell>
          <cell r="J216">
            <v>0</v>
          </cell>
          <cell r="K216">
            <v>2</v>
          </cell>
          <cell r="L216">
            <v>0</v>
          </cell>
          <cell r="M216">
            <v>2</v>
          </cell>
          <cell r="N216">
            <v>1.5</v>
          </cell>
          <cell r="O216">
            <v>14933.65</v>
          </cell>
          <cell r="P216">
            <v>25</v>
          </cell>
        </row>
        <row r="217">
          <cell r="A217">
            <v>2.001</v>
          </cell>
          <cell r="C217" t="str">
            <v>PELVIC EVISCERATION, RADICAL HYSTERECTOMY &amp; OTHER RADICAL GYN PROCS               </v>
          </cell>
          <cell r="D217">
            <v>0</v>
          </cell>
          <cell r="E217">
            <v>0</v>
          </cell>
          <cell r="F217">
            <v>0</v>
          </cell>
          <cell r="G217">
            <v>2</v>
          </cell>
          <cell r="H217">
            <v>0</v>
          </cell>
          <cell r="I217">
            <v>2</v>
          </cell>
          <cell r="J217">
            <v>0</v>
          </cell>
          <cell r="K217">
            <v>2</v>
          </cell>
          <cell r="L217">
            <v>0</v>
          </cell>
          <cell r="M217">
            <v>2</v>
          </cell>
          <cell r="N217">
            <v>5.5</v>
          </cell>
          <cell r="O217">
            <v>40653.4</v>
          </cell>
          <cell r="P217">
            <v>79.5</v>
          </cell>
        </row>
        <row r="218">
          <cell r="A218">
            <v>2.001</v>
          </cell>
          <cell r="C218" t="str">
            <v>MALIGNANT BREAST DISORDERS                                                        </v>
          </cell>
          <cell r="D218">
            <v>0</v>
          </cell>
          <cell r="E218">
            <v>0</v>
          </cell>
          <cell r="F218">
            <v>1</v>
          </cell>
          <cell r="G218">
            <v>1</v>
          </cell>
          <cell r="H218">
            <v>0</v>
          </cell>
          <cell r="I218">
            <v>2</v>
          </cell>
          <cell r="J218">
            <v>1</v>
          </cell>
          <cell r="K218">
            <v>1</v>
          </cell>
          <cell r="L218">
            <v>0</v>
          </cell>
          <cell r="M218">
            <v>2</v>
          </cell>
          <cell r="N218">
            <v>8</v>
          </cell>
          <cell r="O218">
            <v>55076.6</v>
          </cell>
          <cell r="P218">
            <v>66.5</v>
          </cell>
        </row>
        <row r="219">
          <cell r="A219">
            <v>2.001</v>
          </cell>
          <cell r="C219" t="str">
            <v>BREAST PROCEDURES EXCEPT MASTECTOMY                                               </v>
          </cell>
          <cell r="D219">
            <v>0</v>
          </cell>
          <cell r="E219">
            <v>0</v>
          </cell>
          <cell r="F219">
            <v>1</v>
          </cell>
          <cell r="G219">
            <v>1</v>
          </cell>
          <cell r="H219">
            <v>0</v>
          </cell>
          <cell r="I219">
            <v>2</v>
          </cell>
          <cell r="J219">
            <v>0</v>
          </cell>
          <cell r="K219">
            <v>2</v>
          </cell>
          <cell r="L219">
            <v>0</v>
          </cell>
          <cell r="M219">
            <v>2</v>
          </cell>
          <cell r="N219">
            <v>3</v>
          </cell>
          <cell r="O219">
            <v>24237.55</v>
          </cell>
          <cell r="P219">
            <v>59.5</v>
          </cell>
        </row>
        <row r="220">
          <cell r="A220">
            <v>2.001</v>
          </cell>
          <cell r="C220" t="str">
            <v>HAND &amp; WRIST PROCEDURES                                                           </v>
          </cell>
          <cell r="D220">
            <v>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2</v>
          </cell>
          <cell r="J220">
            <v>2</v>
          </cell>
          <cell r="K220">
            <v>0</v>
          </cell>
          <cell r="L220">
            <v>0</v>
          </cell>
          <cell r="M220">
            <v>2</v>
          </cell>
          <cell r="N220">
            <v>1</v>
          </cell>
          <cell r="O220">
            <v>10433.15</v>
          </cell>
          <cell r="P220">
            <v>22</v>
          </cell>
        </row>
        <row r="221">
          <cell r="A221">
            <v>2.001</v>
          </cell>
          <cell r="C221" t="str">
            <v>SKIN GRAFT, EXCEPT HAND, FOR MUSCULOSKELETAL &amp; CONNECTIVE TISSUE DIAGNOSES        </v>
          </cell>
          <cell r="D221">
            <v>0</v>
          </cell>
          <cell r="E221">
            <v>0</v>
          </cell>
          <cell r="F221">
            <v>1</v>
          </cell>
          <cell r="G221">
            <v>1</v>
          </cell>
          <cell r="H221">
            <v>0</v>
          </cell>
          <cell r="I221">
            <v>2</v>
          </cell>
          <cell r="J221">
            <v>2</v>
          </cell>
          <cell r="K221">
            <v>0</v>
          </cell>
          <cell r="L221">
            <v>0</v>
          </cell>
          <cell r="M221">
            <v>2</v>
          </cell>
          <cell r="N221">
            <v>5.5</v>
          </cell>
          <cell r="O221">
            <v>33935.55</v>
          </cell>
          <cell r="P221">
            <v>68</v>
          </cell>
        </row>
        <row r="222">
          <cell r="A222">
            <v>2.001</v>
          </cell>
          <cell r="C222" t="str">
            <v>OTHER HEPATOBILIARY, PANCREAS &amp; ABDOMINAL PROCEDURES                              </v>
          </cell>
          <cell r="D222">
            <v>0</v>
          </cell>
          <cell r="E222">
            <v>0</v>
          </cell>
          <cell r="F222">
            <v>2</v>
          </cell>
          <cell r="G222">
            <v>0</v>
          </cell>
          <cell r="H222">
            <v>0</v>
          </cell>
          <cell r="I222">
            <v>2</v>
          </cell>
          <cell r="J222">
            <v>0</v>
          </cell>
          <cell r="K222">
            <v>2</v>
          </cell>
          <cell r="L222">
            <v>0</v>
          </cell>
          <cell r="M222">
            <v>2</v>
          </cell>
          <cell r="N222">
            <v>4.5</v>
          </cell>
          <cell r="O222">
            <v>38531.3</v>
          </cell>
          <cell r="P222">
            <v>50</v>
          </cell>
        </row>
        <row r="223">
          <cell r="A223">
            <v>2.001</v>
          </cell>
          <cell r="C223" t="str">
            <v>CARDIAC PACEMAKER &amp; DEFIBRILLATOR REVISION EXCEPT DEVICE REPLACEMENT              </v>
          </cell>
          <cell r="D223">
            <v>0</v>
          </cell>
          <cell r="E223">
            <v>0</v>
          </cell>
          <cell r="F223">
            <v>0</v>
          </cell>
          <cell r="G223">
            <v>2</v>
          </cell>
          <cell r="H223">
            <v>0</v>
          </cell>
          <cell r="I223">
            <v>2</v>
          </cell>
          <cell r="J223">
            <v>0</v>
          </cell>
          <cell r="K223">
            <v>2</v>
          </cell>
          <cell r="L223">
            <v>0</v>
          </cell>
          <cell r="M223">
            <v>2</v>
          </cell>
          <cell r="N223">
            <v>1.5</v>
          </cell>
          <cell r="O223">
            <v>27865.95</v>
          </cell>
          <cell r="P223">
            <v>81</v>
          </cell>
        </row>
        <row r="224">
          <cell r="A224">
            <v>2.001</v>
          </cell>
          <cell r="C224" t="str">
            <v>FACIAL BONE PROCEDURES EXCEPT MAJOR CRANIAL/FACIAL BONE PROCEDURES                </v>
          </cell>
          <cell r="D224">
            <v>0</v>
          </cell>
          <cell r="E224">
            <v>1</v>
          </cell>
          <cell r="F224">
            <v>1</v>
          </cell>
          <cell r="G224">
            <v>0</v>
          </cell>
          <cell r="H224">
            <v>0</v>
          </cell>
          <cell r="I224">
            <v>2</v>
          </cell>
          <cell r="J224">
            <v>2</v>
          </cell>
          <cell r="K224">
            <v>0</v>
          </cell>
          <cell r="L224">
            <v>0</v>
          </cell>
          <cell r="M224">
            <v>2</v>
          </cell>
          <cell r="N224">
            <v>2</v>
          </cell>
          <cell r="O224">
            <v>24367.25</v>
          </cell>
          <cell r="P224">
            <v>46.5</v>
          </cell>
        </row>
        <row r="225">
          <cell r="A225">
            <v>2</v>
          </cell>
          <cell r="C225" t="str">
            <v>VIRAL MENINGITIS                                                                  </v>
          </cell>
          <cell r="D225">
            <v>0</v>
          </cell>
          <cell r="E225">
            <v>2</v>
          </cell>
          <cell r="F225">
            <v>0</v>
          </cell>
          <cell r="G225">
            <v>0</v>
          </cell>
          <cell r="H225">
            <v>0</v>
          </cell>
          <cell r="I225">
            <v>2</v>
          </cell>
          <cell r="J225">
            <v>1</v>
          </cell>
          <cell r="K225">
            <v>1</v>
          </cell>
          <cell r="L225">
            <v>0</v>
          </cell>
          <cell r="M225">
            <v>2</v>
          </cell>
          <cell r="N225">
            <v>2</v>
          </cell>
          <cell r="O225">
            <v>19712.25</v>
          </cell>
          <cell r="P225">
            <v>25.5</v>
          </cell>
        </row>
        <row r="226">
          <cell r="A226">
            <v>1.001</v>
          </cell>
          <cell r="C226" t="str">
            <v>MUSCULOSKELETAL &amp; OTHER PROCEDURES FOR MULTIPLE SIGNIFICANT TRAUMA                </v>
          </cell>
          <cell r="D226">
            <v>0</v>
          </cell>
          <cell r="E226">
            <v>0</v>
          </cell>
          <cell r="F226">
            <v>1</v>
          </cell>
          <cell r="G226">
            <v>0</v>
          </cell>
          <cell r="H226">
            <v>0</v>
          </cell>
          <cell r="I226">
            <v>1</v>
          </cell>
          <cell r="J226">
            <v>0</v>
          </cell>
          <cell r="K226">
            <v>1</v>
          </cell>
          <cell r="L226">
            <v>0</v>
          </cell>
          <cell r="M226">
            <v>1</v>
          </cell>
          <cell r="N226">
            <v>22</v>
          </cell>
          <cell r="O226">
            <v>153565.7</v>
          </cell>
          <cell r="P226">
            <v>55</v>
          </cell>
        </row>
        <row r="227">
          <cell r="A227">
            <v>1.001</v>
          </cell>
          <cell r="C227" t="str">
            <v>PARTIAL THICKNESS BURNS W OR W/O SKIN GRAFT                                       </v>
          </cell>
          <cell r="D227">
            <v>0</v>
          </cell>
          <cell r="E227">
            <v>0</v>
          </cell>
          <cell r="F227">
            <v>0</v>
          </cell>
          <cell r="G227">
            <v>1</v>
          </cell>
          <cell r="H227">
            <v>0</v>
          </cell>
          <cell r="I227">
            <v>1</v>
          </cell>
          <cell r="J227">
            <v>1</v>
          </cell>
          <cell r="K227">
            <v>0</v>
          </cell>
          <cell r="L227">
            <v>0</v>
          </cell>
          <cell r="M227">
            <v>1</v>
          </cell>
          <cell r="N227">
            <v>9</v>
          </cell>
          <cell r="O227">
            <v>31366.4</v>
          </cell>
          <cell r="P227">
            <v>83</v>
          </cell>
        </row>
        <row r="228">
          <cell r="A228">
            <v>1.001</v>
          </cell>
          <cell r="C228" t="str">
            <v>DRUG &amp; ALCOHOL ABUSE OR DEPENDENCE, LEFT AGAINST MEDICAL ADVICE                   </v>
          </cell>
          <cell r="D228">
            <v>0</v>
          </cell>
          <cell r="E228">
            <v>0</v>
          </cell>
          <cell r="F228">
            <v>1</v>
          </cell>
          <cell r="G228">
            <v>0</v>
          </cell>
          <cell r="H228">
            <v>0</v>
          </cell>
          <cell r="I228">
            <v>1</v>
          </cell>
          <cell r="J228">
            <v>0</v>
          </cell>
          <cell r="K228">
            <v>1</v>
          </cell>
          <cell r="L228">
            <v>0</v>
          </cell>
          <cell r="M228">
            <v>1</v>
          </cell>
          <cell r="N228">
            <v>2</v>
          </cell>
          <cell r="O228">
            <v>10902.9</v>
          </cell>
          <cell r="P228">
            <v>58</v>
          </cell>
        </row>
        <row r="229">
          <cell r="A229">
            <v>1.001</v>
          </cell>
          <cell r="C229" t="str">
            <v>ORGANIC MENTAL HEALTH DISTURBANCES                                                </v>
          </cell>
          <cell r="D229">
            <v>0</v>
          </cell>
          <cell r="E229">
            <v>0</v>
          </cell>
          <cell r="F229">
            <v>0</v>
          </cell>
          <cell r="G229">
            <v>1</v>
          </cell>
          <cell r="H229">
            <v>0</v>
          </cell>
          <cell r="I229">
            <v>1</v>
          </cell>
          <cell r="J229">
            <v>0</v>
          </cell>
          <cell r="K229">
            <v>1</v>
          </cell>
          <cell r="L229">
            <v>0</v>
          </cell>
          <cell r="M229">
            <v>1</v>
          </cell>
          <cell r="N229">
            <v>3</v>
          </cell>
          <cell r="O229">
            <v>17059.8</v>
          </cell>
          <cell r="P229">
            <v>77</v>
          </cell>
        </row>
        <row r="230">
          <cell r="A230">
            <v>1.001</v>
          </cell>
          <cell r="C230" t="str">
            <v>RADIOTHERAPY                                                                      </v>
          </cell>
          <cell r="D230">
            <v>0</v>
          </cell>
          <cell r="E230">
            <v>0</v>
          </cell>
          <cell r="F230">
            <v>0</v>
          </cell>
          <cell r="G230">
            <v>1</v>
          </cell>
          <cell r="H230">
            <v>0</v>
          </cell>
          <cell r="I230">
            <v>1</v>
          </cell>
          <cell r="J230">
            <v>1</v>
          </cell>
          <cell r="K230">
            <v>0</v>
          </cell>
          <cell r="L230">
            <v>0</v>
          </cell>
          <cell r="M230">
            <v>1</v>
          </cell>
          <cell r="N230">
            <v>5</v>
          </cell>
          <cell r="O230">
            <v>18224.1</v>
          </cell>
          <cell r="P230">
            <v>86</v>
          </cell>
        </row>
        <row r="231">
          <cell r="A231">
            <v>1.001</v>
          </cell>
          <cell r="C231" t="str">
            <v>NEONATE BIRTHWT &gt;2499G W CONGENITAL/PERINATAL INFECTION                           </v>
          </cell>
          <cell r="D231">
            <v>1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1</v>
          </cell>
          <cell r="J231">
            <v>1</v>
          </cell>
          <cell r="K231">
            <v>0</v>
          </cell>
          <cell r="L231">
            <v>0</v>
          </cell>
          <cell r="M231">
            <v>1</v>
          </cell>
          <cell r="N231">
            <v>4</v>
          </cell>
          <cell r="O231">
            <v>6724.5</v>
          </cell>
          <cell r="P231">
            <v>0</v>
          </cell>
        </row>
        <row r="232">
          <cell r="A232">
            <v>1.001</v>
          </cell>
          <cell r="C232" t="str">
            <v>NEONATE BWT 2000-2499G W OTHER SIGNIFICANT CONDITION                              </v>
          </cell>
          <cell r="D232">
            <v>1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1</v>
          </cell>
          <cell r="J232">
            <v>0</v>
          </cell>
          <cell r="K232">
            <v>1</v>
          </cell>
          <cell r="L232">
            <v>0</v>
          </cell>
          <cell r="M232">
            <v>1</v>
          </cell>
          <cell r="N232">
            <v>4</v>
          </cell>
          <cell r="O232">
            <v>4698.5</v>
          </cell>
          <cell r="P232">
            <v>0</v>
          </cell>
        </row>
        <row r="233">
          <cell r="A233">
            <v>1.001</v>
          </cell>
          <cell r="C233" t="str">
            <v>NEONATE BWT 2000-2499G W MAJOR ANOMALY                                            </v>
          </cell>
          <cell r="D233">
            <v>1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1</v>
          </cell>
          <cell r="J233">
            <v>1</v>
          </cell>
          <cell r="K233">
            <v>0</v>
          </cell>
          <cell r="L233">
            <v>0</v>
          </cell>
          <cell r="M233">
            <v>1</v>
          </cell>
          <cell r="N233">
            <v>2</v>
          </cell>
          <cell r="O233">
            <v>3790.7</v>
          </cell>
          <cell r="P233">
            <v>0</v>
          </cell>
        </row>
        <row r="234">
          <cell r="A234">
            <v>1.001</v>
          </cell>
          <cell r="C234" t="str">
            <v>NEONATE BWT 1500-1999G W OR W/O OTHER SIGNIFICANT CONDITION                       </v>
          </cell>
          <cell r="D234">
            <v>1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1</v>
          </cell>
          <cell r="J234">
            <v>1</v>
          </cell>
          <cell r="K234">
            <v>0</v>
          </cell>
          <cell r="L234">
            <v>0</v>
          </cell>
          <cell r="M234">
            <v>1</v>
          </cell>
          <cell r="N234">
            <v>5</v>
          </cell>
          <cell r="O234">
            <v>6507.7</v>
          </cell>
          <cell r="P234">
            <v>0</v>
          </cell>
        </row>
        <row r="235">
          <cell r="A235">
            <v>1.001</v>
          </cell>
          <cell r="C235" t="str">
            <v>DILATION &amp; CURETTAGE FOR NON-OBSTETRIC DIAGNOSES                                  </v>
          </cell>
          <cell r="D235">
            <v>0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1</v>
          </cell>
          <cell r="J235">
            <v>0</v>
          </cell>
          <cell r="K235">
            <v>1</v>
          </cell>
          <cell r="L235">
            <v>0</v>
          </cell>
          <cell r="M235">
            <v>1</v>
          </cell>
          <cell r="N235">
            <v>1</v>
          </cell>
          <cell r="O235">
            <v>22456.5</v>
          </cell>
          <cell r="P235">
            <v>42</v>
          </cell>
        </row>
        <row r="236">
          <cell r="A236">
            <v>1.001</v>
          </cell>
          <cell r="C236" t="str">
            <v>UTERINE &amp; ADNEXA PROCEDURES FOR OVARIAN &amp; ADNEXAL MALIGNANCY                      </v>
          </cell>
          <cell r="D236">
            <v>0</v>
          </cell>
          <cell r="E236">
            <v>0</v>
          </cell>
          <cell r="F236">
            <v>0</v>
          </cell>
          <cell r="G236">
            <v>1</v>
          </cell>
          <cell r="H236">
            <v>0</v>
          </cell>
          <cell r="I236">
            <v>1</v>
          </cell>
          <cell r="J236">
            <v>0</v>
          </cell>
          <cell r="K236">
            <v>1</v>
          </cell>
          <cell r="L236">
            <v>0</v>
          </cell>
          <cell r="M236">
            <v>1</v>
          </cell>
          <cell r="N236">
            <v>8</v>
          </cell>
          <cell r="O236">
            <v>116481</v>
          </cell>
          <cell r="P236">
            <v>69</v>
          </cell>
        </row>
        <row r="237">
          <cell r="A237">
            <v>1.001</v>
          </cell>
          <cell r="C237" t="str">
            <v>OTHER MALE REPRODUCTIVE SYSTEM &amp; RELATED PROCEDURES                               </v>
          </cell>
          <cell r="D237">
            <v>0</v>
          </cell>
          <cell r="E237">
            <v>0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0</v>
          </cell>
          <cell r="L237">
            <v>0</v>
          </cell>
          <cell r="M237">
            <v>1</v>
          </cell>
          <cell r="N237">
            <v>2</v>
          </cell>
          <cell r="O237">
            <v>24517.3</v>
          </cell>
          <cell r="P237">
            <v>58</v>
          </cell>
        </row>
        <row r="238">
          <cell r="A238">
            <v>1.001</v>
          </cell>
          <cell r="C238" t="str">
            <v>KIDNEY &amp; URINARY TRACT MALIGNANCY                                                 </v>
          </cell>
          <cell r="D238">
            <v>0</v>
          </cell>
          <cell r="E238">
            <v>0</v>
          </cell>
          <cell r="F238">
            <v>1</v>
          </cell>
          <cell r="G238">
            <v>0</v>
          </cell>
          <cell r="H238">
            <v>0</v>
          </cell>
          <cell r="I238">
            <v>1</v>
          </cell>
          <cell r="J238">
            <v>1</v>
          </cell>
          <cell r="K238">
            <v>0</v>
          </cell>
          <cell r="L238">
            <v>0</v>
          </cell>
          <cell r="M238">
            <v>1</v>
          </cell>
          <cell r="N238">
            <v>1</v>
          </cell>
          <cell r="O238">
            <v>8334.2</v>
          </cell>
          <cell r="P238">
            <v>49</v>
          </cell>
        </row>
        <row r="239">
          <cell r="A239">
            <v>1.001</v>
          </cell>
          <cell r="C239" t="str">
            <v>OTHER BLADDER PROCEDURES                                                          </v>
          </cell>
          <cell r="D239">
            <v>0</v>
          </cell>
          <cell r="E239">
            <v>0</v>
          </cell>
          <cell r="F239">
            <v>0</v>
          </cell>
          <cell r="G239">
            <v>1</v>
          </cell>
          <cell r="H239">
            <v>0</v>
          </cell>
          <cell r="I239">
            <v>1</v>
          </cell>
          <cell r="J239">
            <v>1</v>
          </cell>
          <cell r="K239">
            <v>0</v>
          </cell>
          <cell r="L239">
            <v>0</v>
          </cell>
          <cell r="M239">
            <v>1</v>
          </cell>
          <cell r="N239">
            <v>5</v>
          </cell>
          <cell r="O239">
            <v>69069.4</v>
          </cell>
          <cell r="P239">
            <v>77</v>
          </cell>
        </row>
        <row r="240">
          <cell r="A240">
            <v>1.001</v>
          </cell>
          <cell r="C240" t="str">
            <v>PITUITARY &amp; ADRENAL PROCEDURES                                                    </v>
          </cell>
          <cell r="D240">
            <v>0</v>
          </cell>
          <cell r="E240">
            <v>0</v>
          </cell>
          <cell r="F240">
            <v>1</v>
          </cell>
          <cell r="G240">
            <v>0</v>
          </cell>
          <cell r="H240">
            <v>0</v>
          </cell>
          <cell r="I240">
            <v>1</v>
          </cell>
          <cell r="J240">
            <v>1</v>
          </cell>
          <cell r="K240">
            <v>0</v>
          </cell>
          <cell r="L240">
            <v>0</v>
          </cell>
          <cell r="M240">
            <v>1</v>
          </cell>
          <cell r="N240">
            <v>1</v>
          </cell>
          <cell r="O240">
            <v>27285.4</v>
          </cell>
          <cell r="P240">
            <v>59</v>
          </cell>
        </row>
        <row r="241">
          <cell r="A241">
            <v>1.001</v>
          </cell>
          <cell r="C241" t="str">
            <v>MASTECTOMY PROCEDURES                                                             </v>
          </cell>
          <cell r="D241">
            <v>0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1</v>
          </cell>
          <cell r="J241">
            <v>0</v>
          </cell>
          <cell r="K241">
            <v>1</v>
          </cell>
          <cell r="L241">
            <v>0</v>
          </cell>
          <cell r="M241">
            <v>1</v>
          </cell>
          <cell r="N241">
            <v>14</v>
          </cell>
          <cell r="O241">
            <v>86267.4</v>
          </cell>
          <cell r="P241">
            <v>41</v>
          </cell>
        </row>
        <row r="242">
          <cell r="A242">
            <v>1.001</v>
          </cell>
          <cell r="C242" t="str">
            <v>PERMANENT CARDIAC PACEMAKER IMPLANT W AMI, HEART FAILURE OR SHOCK                 </v>
          </cell>
          <cell r="D242">
            <v>0</v>
          </cell>
          <cell r="E242">
            <v>0</v>
          </cell>
          <cell r="F242">
            <v>0</v>
          </cell>
          <cell r="G242">
            <v>1</v>
          </cell>
          <cell r="H242">
            <v>0</v>
          </cell>
          <cell r="I242">
            <v>1</v>
          </cell>
          <cell r="J242">
            <v>0</v>
          </cell>
          <cell r="K242">
            <v>1</v>
          </cell>
          <cell r="L242">
            <v>0</v>
          </cell>
          <cell r="M242">
            <v>1</v>
          </cell>
          <cell r="N242">
            <v>6</v>
          </cell>
          <cell r="O242">
            <v>43318.5</v>
          </cell>
          <cell r="P242">
            <v>88</v>
          </cell>
        </row>
        <row r="243">
          <cell r="A243">
            <v>1.001</v>
          </cell>
          <cell r="C243" t="str">
            <v>OTHER EAR, NOSE, MOUTH &amp; THROAT PROCEDURES                                        </v>
          </cell>
          <cell r="D243">
            <v>0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1</v>
          </cell>
          <cell r="J243">
            <v>1</v>
          </cell>
          <cell r="K243">
            <v>0</v>
          </cell>
          <cell r="L243">
            <v>0</v>
          </cell>
          <cell r="M243">
            <v>1</v>
          </cell>
          <cell r="N243">
            <v>7</v>
          </cell>
          <cell r="O243">
            <v>21699.6</v>
          </cell>
          <cell r="P243">
            <v>32</v>
          </cell>
        </row>
        <row r="244">
          <cell r="A244">
            <v>1.001</v>
          </cell>
          <cell r="C244" t="str">
            <v>ACUTE MAJOR EYE INFECTIONS                                                        </v>
          </cell>
          <cell r="D244">
            <v>0</v>
          </cell>
          <cell r="E244">
            <v>0</v>
          </cell>
          <cell r="F244">
            <v>0</v>
          </cell>
          <cell r="G244">
            <v>1</v>
          </cell>
          <cell r="H244">
            <v>0</v>
          </cell>
          <cell r="I244">
            <v>1</v>
          </cell>
          <cell r="J244">
            <v>0</v>
          </cell>
          <cell r="K244">
            <v>1</v>
          </cell>
          <cell r="L244">
            <v>0</v>
          </cell>
          <cell r="M244">
            <v>1</v>
          </cell>
          <cell r="N244">
            <v>4</v>
          </cell>
          <cell r="O244">
            <v>23649.5</v>
          </cell>
          <cell r="P244">
            <v>76</v>
          </cell>
        </row>
        <row r="245">
          <cell r="A245">
            <v>1.001</v>
          </cell>
          <cell r="C245" t="str">
            <v>BRAIN CONTUSION/LACERATION &amp; COMPLICATED SKULL FX, COMA &lt; 1 HR OR NO COMA         </v>
          </cell>
          <cell r="D245">
            <v>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1</v>
          </cell>
          <cell r="L245">
            <v>0</v>
          </cell>
          <cell r="M245">
            <v>1</v>
          </cell>
          <cell r="N245">
            <v>2</v>
          </cell>
          <cell r="O245">
            <v>10068.8</v>
          </cell>
          <cell r="P245">
            <v>14</v>
          </cell>
        </row>
        <row r="246">
          <cell r="A246">
            <v>1.001</v>
          </cell>
          <cell r="C246" t="str">
            <v>HEAD TRAUMA W COMA &gt;1 HR OR HEMORRHAGE                                            </v>
          </cell>
          <cell r="D246">
            <v>1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1</v>
          </cell>
          <cell r="J246">
            <v>1</v>
          </cell>
          <cell r="K246">
            <v>0</v>
          </cell>
          <cell r="L246">
            <v>0</v>
          </cell>
          <cell r="M246">
            <v>1</v>
          </cell>
          <cell r="N246">
            <v>1</v>
          </cell>
          <cell r="O246">
            <v>20883.3</v>
          </cell>
          <cell r="P246">
            <v>17</v>
          </cell>
        </row>
        <row r="247">
          <cell r="A247">
            <v>1.001</v>
          </cell>
          <cell r="C247" t="str">
            <v>SPINAL DISORDERS &amp; INJURIES                                                       </v>
          </cell>
          <cell r="D247">
            <v>0</v>
          </cell>
          <cell r="E247">
            <v>0</v>
          </cell>
          <cell r="F247">
            <v>1</v>
          </cell>
          <cell r="G247">
            <v>0</v>
          </cell>
          <cell r="H247">
            <v>0</v>
          </cell>
          <cell r="I247">
            <v>1</v>
          </cell>
          <cell r="J247">
            <v>1</v>
          </cell>
          <cell r="K247">
            <v>0</v>
          </cell>
          <cell r="L247">
            <v>0</v>
          </cell>
          <cell r="M247">
            <v>1</v>
          </cell>
          <cell r="N247">
            <v>4</v>
          </cell>
          <cell r="O247">
            <v>13450.5</v>
          </cell>
          <cell r="P247">
            <v>60</v>
          </cell>
        </row>
        <row r="248">
          <cell r="A248">
            <v>1.001</v>
          </cell>
          <cell r="C248" t="str">
            <v>SPINAL PROCEDURES                                                                 </v>
          </cell>
          <cell r="D248">
            <v>0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1</v>
          </cell>
          <cell r="J248">
            <v>0</v>
          </cell>
          <cell r="K248">
            <v>1</v>
          </cell>
          <cell r="L248">
            <v>0</v>
          </cell>
          <cell r="M248">
            <v>1</v>
          </cell>
          <cell r="N248">
            <v>1</v>
          </cell>
          <cell r="O248">
            <v>22714.8</v>
          </cell>
          <cell r="P248">
            <v>42</v>
          </cell>
        </row>
        <row r="249">
          <cell r="A249">
            <v>1.001</v>
          </cell>
          <cell r="C249" t="str">
            <v>CRANIOTOMY FOR TRAUMA                                                             </v>
          </cell>
          <cell r="D249">
            <v>0</v>
          </cell>
          <cell r="E249">
            <v>0</v>
          </cell>
          <cell r="F249">
            <v>1</v>
          </cell>
          <cell r="G249">
            <v>0</v>
          </cell>
          <cell r="H249">
            <v>0</v>
          </cell>
          <cell r="I249">
            <v>1</v>
          </cell>
          <cell r="J249">
            <v>1</v>
          </cell>
          <cell r="K249">
            <v>0</v>
          </cell>
          <cell r="L249">
            <v>0</v>
          </cell>
          <cell r="M249">
            <v>1</v>
          </cell>
          <cell r="N249">
            <v>2</v>
          </cell>
          <cell r="O249">
            <v>25439.8</v>
          </cell>
          <cell r="P249">
            <v>54</v>
          </cell>
        </row>
        <row r="250">
          <cell r="I250">
            <v>5854</v>
          </cell>
        </row>
        <row r="251">
          <cell r="I251">
            <v>9981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71.33203125" style="0" customWidth="1"/>
    <col min="2" max="2" width="6.16015625" style="0" customWidth="1"/>
    <col min="3" max="3" width="11" style="0" bestFit="1" customWidth="1"/>
    <col min="4" max="4" width="7.5" style="0" bestFit="1" customWidth="1"/>
    <col min="5" max="5" width="6" style="0" bestFit="1" customWidth="1"/>
    <col min="6" max="6" width="11.83203125" style="0" bestFit="1" customWidth="1"/>
    <col min="7" max="8" width="9" style="0" customWidth="1"/>
    <col min="9" max="12" width="6.33203125" style="0" customWidth="1"/>
  </cols>
  <sheetData>
    <row r="1" ht="13.5" thickBot="1">
      <c r="A1" s="1" t="s">
        <v>12</v>
      </c>
    </row>
    <row r="2" spans="1:13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4" t="s">
        <v>8</v>
      </c>
      <c r="J2" s="6" t="s">
        <v>9</v>
      </c>
      <c r="K2" s="6" t="s">
        <v>10</v>
      </c>
      <c r="L2" s="6" t="s">
        <v>11</v>
      </c>
      <c r="M2" s="7"/>
    </row>
    <row r="3" spans="1:12" ht="11.25">
      <c r="A3" s="8" t="str">
        <f>VLOOKUP(LARGE('[1]Top25AIDU'!$A$5:$C$259,1),'[1]Top25AIDU'!$A$5:$C$259,3,FALSE)</f>
        <v>ASTHMA                                                                            </v>
      </c>
      <c r="B3" s="9">
        <f>VLOOKUP(LARGE('[1]Top25AIDU'!$A$5:$C$259,1),'[1]Top25AIDU'!$A$5:$C$259,1,FALSE)</f>
        <v>745</v>
      </c>
      <c r="C3" s="10">
        <f>VLOOKUP(LARGE('[1]Top25AIDU'!$A$5:$C$259,1),'[1]Top25AIDU'!$A$5:$C$259,1,FALSE)/'[1]Top25AIDU'!$I$260*100</f>
        <v>13.100052751890276</v>
      </c>
      <c r="D3" s="10">
        <f>(VLOOKUP(LARGE('[1]Top25AIDU'!$A$5:$C$259,1),'[1]Top25AIDU'!$A$5:$C$259,1,FALSE)/'[1]Top25AIDU'!$I$261*100)</f>
        <v>7.303921568627452</v>
      </c>
      <c r="E3" s="10">
        <f>VLOOKUP(LARGE('[1]Top25AIDU'!$A$5:$A$259,1),'[1]Top25AIDU'!$A$5:$P$259,14,FALSE)</f>
        <v>1.7</v>
      </c>
      <c r="F3" s="11">
        <f>VLOOKUP(LARGE('[1]Top25AIDU'!$A$5:$A$259,1),'[1]Top25AIDU'!$A$5:$P$259,15,FALSE)</f>
        <v>11608.61</v>
      </c>
      <c r="G3" s="12">
        <f>VLOOKUP(LARGE('[1]Top25AIDU'!$A$5:$A$259,1),'[1]Top25AIDU'!$A$5:$P$259,10,FALSE)/VLOOKUP(LARGE('[1]Top25AIDU'!$A$5:$A$259,1),'[1]Top25AIDU'!$A$5:$P$259,13,FALSE)*100</f>
        <v>63.48993288590604</v>
      </c>
      <c r="H3" s="13">
        <f>VLOOKUP(LARGE('[1]Top25AIDU'!$A$5:$A$259,1),'[1]Top25AIDU'!$A$5:$P$259,11,FALSE)/VLOOKUP(LARGE('[1]Top25AIDU'!$A$5:$A$259,1),'[1]Top25AIDU'!$A$5:$P$259,13,FALSE)*100</f>
        <v>36.51006711409396</v>
      </c>
      <c r="I3" s="12">
        <f>VLOOKUP(LARGE('[1]Top25AIDU'!$A$5:$A$259,1),'[1]Top25AIDU'!$A$5:$P$259,4,FALSE)/VLOOKUP(LARGE('[1]Top25AIDU'!$A$5:$A$259,1),'[1]Top25AIDU'!$A$5:$P$259,9,FALSE)*100</f>
        <v>99.32885906040269</v>
      </c>
      <c r="J3" s="14">
        <f>VLOOKUP(LARGE('[1]Top25AIDU'!$A$5:$A$259,1),'[1]Top25AIDU'!$A$5:$P$259,5,FALSE)/VLOOKUP(LARGE('[1]Top25AIDU'!$A$5:$A$259,1),'[1]Top25AIDU'!$A$5:$P$259,9,FALSE)*100</f>
        <v>0.6711409395973155</v>
      </c>
      <c r="K3" s="14">
        <f>VLOOKUP(LARGE('[1]Top25AIDU'!$A$5:$A$259,1),'[1]Top25AIDU'!$A$5:$P$259,6,FALSE)/VLOOKUP(LARGE('[1]Top25AIDU'!$A$5:$A$259,1),'[1]Top25AIDU'!$A$5:$P$259,9,FALSE)*100</f>
        <v>0</v>
      </c>
      <c r="L3" s="14">
        <f>VLOOKUP(LARGE('[1]Top25AIDU'!$A$5:$A$259,1),'[1]Top25AIDU'!$A$5:$P$259,7,FALSE)/VLOOKUP(LARGE('[1]Top25AIDU'!$A$5:$A$259,1),'[1]Top25AIDU'!$A$5:$P$259,9,FALSE)*100</f>
        <v>0</v>
      </c>
    </row>
    <row r="4" spans="1:12" ht="11.25">
      <c r="A4" s="8" t="str">
        <f>VLOOKUP(LARGE('[1]Top25AIDU'!$A$5:$C$259,2),'[1]Top25AIDU'!$A$5:$C$259,3,FALSE)</f>
        <v>BRONCHIOLITIS &amp; RSV PNEUMONIA                                                     </v>
      </c>
      <c r="B4" s="9">
        <f>VLOOKUP(LARGE('[1]Top25AIDU'!$A$5:$C$259,2),'[1]Top25AIDU'!$A$5:$C$259,1,FALSE)</f>
        <v>538</v>
      </c>
      <c r="C4" s="10">
        <f>VLOOKUP(LARGE('[1]Top25AIDU'!$A$5:$C$259,2),'[1]Top25AIDU'!$A$5:$C$259,1,FALSE)/'[1]Top25AIDU'!$I$260*100</f>
        <v>9.460172322841569</v>
      </c>
      <c r="D4" s="10">
        <f>(VLOOKUP(LARGE('[1]Top25AIDU'!$A$5:$C$259,2),'[1]Top25AIDU'!$A$5:$C$259,1,FALSE)/'[1]Top25AIDU'!$I$261*100)</f>
        <v>5.2745098039215685</v>
      </c>
      <c r="E4" s="10">
        <f>VLOOKUP(LARGE('[1]Top25AIDU'!$A$5:$A$259,2),'[1]Top25AIDU'!$A$5:$P$259,14,FALSE)</f>
        <v>2.6</v>
      </c>
      <c r="F4" s="11">
        <f>VLOOKUP(LARGE('[1]Top25AIDU'!$A$5:$A$259,2),'[1]Top25AIDU'!$A$5:$P$259,15,FALSE)</f>
        <v>15317.89</v>
      </c>
      <c r="G4" s="12">
        <f>VLOOKUP(LARGE('[1]Top25AIDU'!$A$5:$A$259,2),'[1]Top25AIDU'!$A$5:$P$259,10,FALSE)/VLOOKUP(LARGE('[1]Top25AIDU'!$A$5:$A$259,2),'[1]Top25AIDU'!$A$5:$P$259,13,FALSE)*100</f>
        <v>61.89591078066915</v>
      </c>
      <c r="H4" s="13">
        <f>VLOOKUP(LARGE('[1]Top25AIDU'!$A$5:$A$259,2),'[1]Top25AIDU'!$A$5:$P$259,11,FALSE)/VLOOKUP(LARGE('[1]Top25AIDU'!$A$5:$A$259,2),'[1]Top25AIDU'!$A$5:$P$259,13,FALSE)*100</f>
        <v>38.10408921933085</v>
      </c>
      <c r="I4" s="12">
        <f>VLOOKUP(LARGE('[1]Top25AIDU'!$A$5:$A$259,2),'[1]Top25AIDU'!$A$5:$P$259,4,FALSE)/VLOOKUP(LARGE('[1]Top25AIDU'!$A$5:$A$259,2),'[1]Top25AIDU'!$A$5:$P$259,9,FALSE)*100</f>
        <v>100</v>
      </c>
      <c r="J4" s="14">
        <f>VLOOKUP(LARGE('[1]Top25AIDU'!$A$5:$A$259,2),'[1]Top25AIDU'!$A$5:$P$259,5,FALSE)/VLOOKUP(LARGE('[1]Top25AIDU'!$A$5:$A$259,2),'[1]Top25AIDU'!$A$5:$P$259,9,FALSE)*100</f>
        <v>0</v>
      </c>
      <c r="K4" s="14">
        <f>VLOOKUP(LARGE('[1]Top25AIDU'!$A$5:$A$259,2),'[1]Top25AIDU'!$A$5:$P$259,6,FALSE)/VLOOKUP(LARGE('[1]Top25AIDU'!$A$5:$A$259,2),'[1]Top25AIDU'!$A$5:$P$259,9,FALSE)*100</f>
        <v>0</v>
      </c>
      <c r="L4" s="14">
        <f>VLOOKUP(LARGE('[1]Top25AIDU'!$A$5:$A$259,2),'[1]Top25AIDU'!$A$5:$P$259,7,FALSE)/VLOOKUP(LARGE('[1]Top25AIDU'!$A$5:$A$259,2),'[1]Top25AIDU'!$A$5:$P$259,9,FALSE)*100</f>
        <v>0</v>
      </c>
    </row>
    <row r="5" spans="1:12" ht="11.25">
      <c r="A5" s="8" t="str">
        <f>VLOOKUP(LARGE('[1]Top25AIDU'!$A$5:$C$259,3),'[1]Top25AIDU'!$A$5:$C$259,3,FALSE)</f>
        <v>OTHER PNEUMONIA                                                                   </v>
      </c>
      <c r="B5" s="9">
        <f>VLOOKUP(LARGE('[1]Top25AIDU'!$A$5:$C$259,3),'[1]Top25AIDU'!$A$5:$C$259,1,FALSE)</f>
        <v>383</v>
      </c>
      <c r="C5" s="10">
        <f>VLOOKUP(LARGE('[1]Top25AIDU'!$A$5:$C$259,3),'[1]Top25AIDU'!$A$5:$C$259,1,FALSE)/'[1]Top25AIDU'!$I$260*100</f>
        <v>6.734657991911377</v>
      </c>
      <c r="D5" s="10">
        <f>(VLOOKUP(LARGE('[1]Top25AIDU'!$A$5:$C$259,3),'[1]Top25AIDU'!$A$5:$C$259,1,FALSE)/'[1]Top25AIDU'!$I$261*100)</f>
        <v>3.754901960784314</v>
      </c>
      <c r="E5" s="10">
        <f>VLOOKUP(LARGE('[1]Top25AIDU'!$A$5:$A$259,3),'[1]Top25AIDU'!$A$5:$P$259,14,FALSE)</f>
        <v>2.8</v>
      </c>
      <c r="F5" s="11">
        <f>VLOOKUP(LARGE('[1]Top25AIDU'!$A$5:$A$259,3),'[1]Top25AIDU'!$A$5:$P$259,15,FALSE)</f>
        <v>16063.11</v>
      </c>
      <c r="G5" s="12">
        <f>VLOOKUP(LARGE('[1]Top25AIDU'!$A$5:$A$259,3),'[1]Top25AIDU'!$A$5:$P$259,10,FALSE)/VLOOKUP(LARGE('[1]Top25AIDU'!$A$5:$A$259,3),'[1]Top25AIDU'!$A$5:$P$259,13,FALSE)*100</f>
        <v>52.48041775456919</v>
      </c>
      <c r="H5" s="13">
        <f>VLOOKUP(LARGE('[1]Top25AIDU'!$A$5:$A$259,3),'[1]Top25AIDU'!$A$5:$P$259,11,FALSE)/VLOOKUP(LARGE('[1]Top25AIDU'!$A$5:$A$259,3),'[1]Top25AIDU'!$A$5:$P$259,13,FALSE)*100</f>
        <v>47.51958224543081</v>
      </c>
      <c r="I5" s="12">
        <f>VLOOKUP(LARGE('[1]Top25AIDU'!$A$5:$A$259,3),'[1]Top25AIDU'!$A$5:$P$259,4,FALSE)/VLOOKUP(LARGE('[1]Top25AIDU'!$A$5:$A$259,3),'[1]Top25AIDU'!$A$5:$P$259,9,FALSE)*100</f>
        <v>97.38903394255874</v>
      </c>
      <c r="J5" s="14">
        <f>VLOOKUP(LARGE('[1]Top25AIDU'!$A$5:$A$259,3),'[1]Top25AIDU'!$A$5:$P$259,5,FALSE)/VLOOKUP(LARGE('[1]Top25AIDU'!$A$5:$A$259,3),'[1]Top25AIDU'!$A$5:$P$259,9,FALSE)*100</f>
        <v>2.610966057441253</v>
      </c>
      <c r="K5" s="14">
        <f>VLOOKUP(LARGE('[1]Top25AIDU'!$A$5:$A$259,3),'[1]Top25AIDU'!$A$5:$P$259,6,FALSE)/VLOOKUP(LARGE('[1]Top25AIDU'!$A$5:$A$259,3),'[1]Top25AIDU'!$A$5:$P$259,9,FALSE)*100</f>
        <v>0</v>
      </c>
      <c r="L5" s="14">
        <f>VLOOKUP(LARGE('[1]Top25AIDU'!$A$5:$A$259,3),'[1]Top25AIDU'!$A$5:$P$259,7,FALSE)/VLOOKUP(LARGE('[1]Top25AIDU'!$A$5:$A$259,3),'[1]Top25AIDU'!$A$5:$P$259,9,FALSE)*100</f>
        <v>0</v>
      </c>
    </row>
    <row r="6" spans="1:12" ht="11.25">
      <c r="A6" s="8" t="str">
        <f>VLOOKUP(LARGE('[1]Top25AIDU'!$A$5:$C$259,4),'[1]Top25AIDU'!$A$5:$C$259,3,FALSE)</f>
        <v>NON-BACTERIAL GASTROENTERITIS, NAUSEA &amp; VOMITING                                  </v>
      </c>
      <c r="B6" s="9">
        <f>VLOOKUP(LARGE('[1]Top25AIDU'!$A$5:$C$259,4),'[1]Top25AIDU'!$A$5:$C$259,1,FALSE)</f>
        <v>365</v>
      </c>
      <c r="C6" s="10">
        <f>VLOOKUP(LARGE('[1]Top25AIDU'!$A$5:$C$259,4),'[1]Top25AIDU'!$A$5:$C$259,1,FALSE)/'[1]Top25AIDU'!$I$260*100</f>
        <v>6.418146650254967</v>
      </c>
      <c r="D6" s="10">
        <f>(VLOOKUP(LARGE('[1]Top25AIDU'!$A$5:$C$259,4),'[1]Top25AIDU'!$A$5:$C$259,1,FALSE)/'[1]Top25AIDU'!$I$261*100)</f>
        <v>3.5784313725490193</v>
      </c>
      <c r="E6" s="10">
        <f>VLOOKUP(LARGE('[1]Top25AIDU'!$A$5:$A$259,4),'[1]Top25AIDU'!$A$5:$P$259,14,FALSE)</f>
        <v>2</v>
      </c>
      <c r="F6" s="11">
        <f>VLOOKUP(LARGE('[1]Top25AIDU'!$A$5:$A$259,4),'[1]Top25AIDU'!$A$5:$P$259,15,FALSE)</f>
        <v>10331.09</v>
      </c>
      <c r="G6" s="12">
        <f>VLOOKUP(LARGE('[1]Top25AIDU'!$A$5:$A$259,4),'[1]Top25AIDU'!$A$5:$P$259,10,FALSE)/VLOOKUP(LARGE('[1]Top25AIDU'!$A$5:$A$259,4),'[1]Top25AIDU'!$A$5:$P$259,13,FALSE)*100</f>
        <v>52.054794520547944</v>
      </c>
      <c r="H6" s="13">
        <f>VLOOKUP(LARGE('[1]Top25AIDU'!$A$5:$A$259,4),'[1]Top25AIDU'!$A$5:$P$259,11,FALSE)/VLOOKUP(LARGE('[1]Top25AIDU'!$A$5:$A$259,4),'[1]Top25AIDU'!$A$5:$P$259,13,FALSE)*100</f>
        <v>47.94520547945205</v>
      </c>
      <c r="I6" s="12">
        <f>VLOOKUP(LARGE('[1]Top25AIDU'!$A$5:$A$259,4),'[1]Top25AIDU'!$A$5:$P$259,4,FALSE)/VLOOKUP(LARGE('[1]Top25AIDU'!$A$5:$A$259,4),'[1]Top25AIDU'!$A$5:$P$259,9,FALSE)*100</f>
        <v>98.35616438356163</v>
      </c>
      <c r="J6" s="14">
        <f>VLOOKUP(LARGE('[1]Top25AIDU'!$A$5:$A$259,4),'[1]Top25AIDU'!$A$5:$P$259,5,FALSE)/VLOOKUP(LARGE('[1]Top25AIDU'!$A$5:$A$259,4),'[1]Top25AIDU'!$A$5:$P$259,9,FALSE)*100</f>
        <v>1.643835616438356</v>
      </c>
      <c r="K6" s="14">
        <f>VLOOKUP(LARGE('[1]Top25AIDU'!$A$5:$A$259,4),'[1]Top25AIDU'!$A$5:$P$259,6,FALSE)/VLOOKUP(LARGE('[1]Top25AIDU'!$A$5:$A$259,4),'[1]Top25AIDU'!$A$5:$P$259,9,FALSE)*100</f>
        <v>0</v>
      </c>
      <c r="L6" s="14">
        <f>VLOOKUP(LARGE('[1]Top25AIDU'!$A$5:$A$259,4),'[1]Top25AIDU'!$A$5:$P$259,7,FALSE)/VLOOKUP(LARGE('[1]Top25AIDU'!$A$5:$A$259,4),'[1]Top25AIDU'!$A$5:$P$259,9,FALSE)*100</f>
        <v>0</v>
      </c>
    </row>
    <row r="7" spans="1:12" ht="11.25">
      <c r="A7" s="8" t="str">
        <f>VLOOKUP(LARGE('[1]Top25AIDU'!$A$5:$C$259,5),'[1]Top25AIDU'!$A$5:$C$259,3,FALSE)</f>
        <v>CELLULITIS &amp; OTHER BACTERIAL SKIN INFECTIONS                                      </v>
      </c>
      <c r="B7" s="9">
        <f>VLOOKUP(LARGE('[1]Top25AIDU'!$A$5:$C$259,5),'[1]Top25AIDU'!$A$5:$C$259,1,FALSE)</f>
        <v>364</v>
      </c>
      <c r="C7" s="10">
        <f>VLOOKUP(LARGE('[1]Top25AIDU'!$A$5:$C$259,5),'[1]Top25AIDU'!$A$5:$C$259,1,FALSE)/'[1]Top25AIDU'!$I$260*100</f>
        <v>6.400562686829611</v>
      </c>
      <c r="D7" s="10">
        <f>(VLOOKUP(LARGE('[1]Top25AIDU'!$A$5:$C$259,5),'[1]Top25AIDU'!$A$5:$C$259,1,FALSE)/'[1]Top25AIDU'!$I$261*100)</f>
        <v>3.568627450980392</v>
      </c>
      <c r="E7" s="10">
        <f>VLOOKUP(LARGE('[1]Top25AIDU'!$A$5:$A$259,5),'[1]Top25AIDU'!$A$5:$P$259,14,FALSE)</f>
        <v>2</v>
      </c>
      <c r="F7" s="11">
        <f>VLOOKUP(LARGE('[1]Top25AIDU'!$A$5:$A$259,5),'[1]Top25AIDU'!$A$5:$P$259,15,FALSE)</f>
        <v>10561.13</v>
      </c>
      <c r="G7" s="12">
        <f>VLOOKUP(LARGE('[1]Top25AIDU'!$A$5:$A$259,5),'[1]Top25AIDU'!$A$5:$P$259,10,FALSE)/VLOOKUP(LARGE('[1]Top25AIDU'!$A$5:$A$259,5),'[1]Top25AIDU'!$A$5:$P$259,13,FALSE)*100</f>
        <v>53.02197802197802</v>
      </c>
      <c r="H7" s="13">
        <f>VLOOKUP(LARGE('[1]Top25AIDU'!$A$5:$A$259,5),'[1]Top25AIDU'!$A$5:$P$259,11,FALSE)/VLOOKUP(LARGE('[1]Top25AIDU'!$A$5:$A$259,5),'[1]Top25AIDU'!$A$5:$P$259,13,FALSE)*100</f>
        <v>46.97802197802198</v>
      </c>
      <c r="I7" s="12">
        <f>VLOOKUP(LARGE('[1]Top25AIDU'!$A$5:$A$259,5),'[1]Top25AIDU'!$A$5:$P$259,4,FALSE)/VLOOKUP(LARGE('[1]Top25AIDU'!$A$5:$A$259,5),'[1]Top25AIDU'!$A$5:$P$259,9,FALSE)*100</f>
        <v>97.8021978021978</v>
      </c>
      <c r="J7" s="14">
        <f>VLOOKUP(LARGE('[1]Top25AIDU'!$A$5:$A$259,5),'[1]Top25AIDU'!$A$5:$P$259,5,FALSE)/VLOOKUP(LARGE('[1]Top25AIDU'!$A$5:$A$259,5),'[1]Top25AIDU'!$A$5:$P$259,9,FALSE)*100</f>
        <v>2.197802197802198</v>
      </c>
      <c r="K7" s="14">
        <f>VLOOKUP(LARGE('[1]Top25AIDU'!$A$5:$A$259,5),'[1]Top25AIDU'!$A$5:$P$259,6,FALSE)/VLOOKUP(LARGE('[1]Top25AIDU'!$A$5:$A$259,5),'[1]Top25AIDU'!$A$5:$P$259,9,FALSE)*100</f>
        <v>0</v>
      </c>
      <c r="L7" s="14">
        <f>VLOOKUP(LARGE('[1]Top25AIDU'!$A$5:$A$259,5),'[1]Top25AIDU'!$A$5:$P$259,7,FALSE)/VLOOKUP(LARGE('[1]Top25AIDU'!$A$5:$A$259,5),'[1]Top25AIDU'!$A$5:$P$259,9,FALSE)*100</f>
        <v>0</v>
      </c>
    </row>
    <row r="8" spans="1:12" ht="11.25">
      <c r="A8" s="8" t="str">
        <f>VLOOKUP(LARGE('[1]Top25AIDU'!$A$5:$C$259,6),'[1]Top25AIDU'!$A$5:$C$259,3,FALSE)</f>
        <v>INFECTIONS OF UPPER RESPIRATORY TRACT                                             </v>
      </c>
      <c r="B8" s="9">
        <f>VLOOKUP(LARGE('[1]Top25AIDU'!$A$5:$C$259,6),'[1]Top25AIDU'!$A$5:$C$259,1,FALSE)</f>
        <v>355</v>
      </c>
      <c r="C8" s="10">
        <f>VLOOKUP(LARGE('[1]Top25AIDU'!$A$5:$C$259,6),'[1]Top25AIDU'!$A$5:$C$259,1,FALSE)/'[1]Top25AIDU'!$I$260*100</f>
        <v>6.242307016001407</v>
      </c>
      <c r="D8" s="10">
        <f>(VLOOKUP(LARGE('[1]Top25AIDU'!$A$5:$C$259,6),'[1]Top25AIDU'!$A$5:$C$259,1,FALSE)/'[1]Top25AIDU'!$I$261*100)</f>
        <v>3.480392156862745</v>
      </c>
      <c r="E8" s="10">
        <f>VLOOKUP(LARGE('[1]Top25AIDU'!$A$5:$A$259,6),'[1]Top25AIDU'!$A$5:$P$259,14,FALSE)</f>
        <v>1.8</v>
      </c>
      <c r="F8" s="11">
        <f>VLOOKUP(LARGE('[1]Top25AIDU'!$A$5:$A$259,6),'[1]Top25AIDU'!$A$5:$P$259,15,FALSE)</f>
        <v>10440.99</v>
      </c>
      <c r="G8" s="12">
        <f>VLOOKUP(LARGE('[1]Top25AIDU'!$A$5:$A$259,6),'[1]Top25AIDU'!$A$5:$P$259,10,FALSE)/VLOOKUP(LARGE('[1]Top25AIDU'!$A$5:$A$259,6),'[1]Top25AIDU'!$A$5:$P$259,13,FALSE)*100</f>
        <v>59.154929577464785</v>
      </c>
      <c r="H8" s="13">
        <f>VLOOKUP(LARGE('[1]Top25AIDU'!$A$5:$A$259,6),'[1]Top25AIDU'!$A$5:$P$259,11,FALSE)/VLOOKUP(LARGE('[1]Top25AIDU'!$A$5:$A$259,6),'[1]Top25AIDU'!$A$5:$P$259,13,FALSE)*100</f>
        <v>40.845070422535215</v>
      </c>
      <c r="I8" s="12">
        <f>VLOOKUP(LARGE('[1]Top25AIDU'!$A$5:$A$259,6),'[1]Top25AIDU'!$A$5:$P$259,4,FALSE)/VLOOKUP(LARGE('[1]Top25AIDU'!$A$5:$A$259,6),'[1]Top25AIDU'!$A$5:$P$259,9,FALSE)*100</f>
        <v>99.43661971830986</v>
      </c>
      <c r="J8" s="14">
        <f>VLOOKUP(LARGE('[1]Top25AIDU'!$A$5:$A$259,6),'[1]Top25AIDU'!$A$5:$P$259,5,FALSE)/VLOOKUP(LARGE('[1]Top25AIDU'!$A$5:$A$259,6),'[1]Top25AIDU'!$A$5:$P$259,9,FALSE)*100</f>
        <v>0.5633802816901409</v>
      </c>
      <c r="K8" s="14">
        <f>VLOOKUP(LARGE('[1]Top25AIDU'!$A$5:$A$259,6),'[1]Top25AIDU'!$A$5:$P$259,6,FALSE)/VLOOKUP(LARGE('[1]Top25AIDU'!$A$5:$A$259,6),'[1]Top25AIDU'!$A$5:$P$259,9,FALSE)*100</f>
        <v>0</v>
      </c>
      <c r="L8" s="14">
        <f>VLOOKUP(LARGE('[1]Top25AIDU'!$A$5:$A$259,6),'[1]Top25AIDU'!$A$5:$P$259,7,FALSE)/VLOOKUP(LARGE('[1]Top25AIDU'!$A$5:$A$259,6),'[1]Top25AIDU'!$A$5:$P$259,9,FALSE)*100</f>
        <v>0</v>
      </c>
    </row>
    <row r="9" spans="1:12" ht="11.25">
      <c r="A9" s="8" t="str">
        <f>VLOOKUP(LARGE('[1]Top25AIDU'!$A$5:$C$259,7),'[1]Top25AIDU'!$A$5:$C$259,3,FALSE)</f>
        <v>SEIZURE                                                                           </v>
      </c>
      <c r="B9" s="9">
        <f>VLOOKUP(LARGE('[1]Top25AIDU'!$A$5:$C$259,7),'[1]Top25AIDU'!$A$5:$C$259,1,FALSE)</f>
        <v>323</v>
      </c>
      <c r="C9" s="10">
        <f>VLOOKUP(LARGE('[1]Top25AIDU'!$A$5:$C$259,7),'[1]Top25AIDU'!$A$5:$C$259,1,FALSE)/'[1]Top25AIDU'!$I$260*100</f>
        <v>5.679620186390013</v>
      </c>
      <c r="D9" s="10">
        <f>(VLOOKUP(LARGE('[1]Top25AIDU'!$A$5:$C$259,7),'[1]Top25AIDU'!$A$5:$C$259,1,FALSE)/'[1]Top25AIDU'!$I$261*100)</f>
        <v>3.166666666666667</v>
      </c>
      <c r="E9" s="10">
        <f>VLOOKUP(LARGE('[1]Top25AIDU'!$A$5:$A$259,7),'[1]Top25AIDU'!$A$5:$P$259,14,FALSE)</f>
        <v>3.1</v>
      </c>
      <c r="F9" s="11">
        <f>VLOOKUP(LARGE('[1]Top25AIDU'!$A$5:$A$259,7),'[1]Top25AIDU'!$A$5:$P$259,15,FALSE)</f>
        <v>20415.26</v>
      </c>
      <c r="G9" s="12">
        <f>VLOOKUP(LARGE('[1]Top25AIDU'!$A$5:$A$259,7),'[1]Top25AIDU'!$A$5:$P$259,10,FALSE)/VLOOKUP(LARGE('[1]Top25AIDU'!$A$5:$A$259,7),'[1]Top25AIDU'!$A$5:$P$259,13,FALSE)*100</f>
        <v>53.25077399380805</v>
      </c>
      <c r="H9" s="13">
        <f>VLOOKUP(LARGE('[1]Top25AIDU'!$A$5:$A$259,7),'[1]Top25AIDU'!$A$5:$P$259,11,FALSE)/VLOOKUP(LARGE('[1]Top25AIDU'!$A$5:$A$259,7),'[1]Top25AIDU'!$A$5:$P$259,13,FALSE)*100</f>
        <v>46.749226006191954</v>
      </c>
      <c r="I9" s="12">
        <f>VLOOKUP(LARGE('[1]Top25AIDU'!$A$5:$A$259,7),'[1]Top25AIDU'!$A$5:$P$259,4,FALSE)/VLOOKUP(LARGE('[1]Top25AIDU'!$A$5:$A$259,7),'[1]Top25AIDU'!$A$5:$P$259,9,FALSE)*100</f>
        <v>98.45201238390094</v>
      </c>
      <c r="J9" s="14">
        <f>VLOOKUP(LARGE('[1]Top25AIDU'!$A$5:$A$259,7),'[1]Top25AIDU'!$A$5:$P$259,5,FALSE)/VLOOKUP(LARGE('[1]Top25AIDU'!$A$5:$A$259,7),'[1]Top25AIDU'!$A$5:$P$259,9,FALSE)*100</f>
        <v>1.5479876160990713</v>
      </c>
      <c r="K9" s="14">
        <f>VLOOKUP(LARGE('[1]Top25AIDU'!$A$5:$A$259,7),'[1]Top25AIDU'!$A$5:$P$259,6,FALSE)/VLOOKUP(LARGE('[1]Top25AIDU'!$A$5:$A$259,7),'[1]Top25AIDU'!$A$5:$P$259,9,FALSE)*100</f>
        <v>0</v>
      </c>
      <c r="L9" s="14">
        <f>VLOOKUP(LARGE('[1]Top25AIDU'!$A$5:$A$259,7),'[1]Top25AIDU'!$A$5:$P$259,7,FALSE)/VLOOKUP(LARGE('[1]Top25AIDU'!$A$5:$A$259,7),'[1]Top25AIDU'!$A$5:$P$259,9,FALSE)*100</f>
        <v>0</v>
      </c>
    </row>
    <row r="10" spans="1:12" ht="11.25">
      <c r="A10" s="8" t="str">
        <f>VLOOKUP(LARGE('[1]Top25AIDU'!$A$5:$C$259,8),'[1]Top25AIDU'!$A$5:$C$259,3,FALSE)</f>
        <v>OTHER DIGESTIVE SYSTEM DIAGNOSES                                                  </v>
      </c>
      <c r="B10" s="9">
        <f>VLOOKUP(LARGE('[1]Top25AIDU'!$A$5:$C$259,8),'[1]Top25AIDU'!$A$5:$C$259,1,FALSE)</f>
        <v>272</v>
      </c>
      <c r="C10" s="10">
        <f>VLOOKUP(LARGE('[1]Top25AIDU'!$A$5:$C$259,8),'[1]Top25AIDU'!$A$5:$C$259,1,FALSE)/'[1]Top25AIDU'!$I$260*100</f>
        <v>4.782838051696853</v>
      </c>
      <c r="D10" s="10">
        <f>(VLOOKUP(LARGE('[1]Top25AIDU'!$A$5:$C$259,8),'[1]Top25AIDU'!$A$5:$C$259,1,FALSE)/'[1]Top25AIDU'!$I$261*100)</f>
        <v>2.666666666666667</v>
      </c>
      <c r="E10" s="10">
        <f>VLOOKUP(LARGE('[1]Top25AIDU'!$A$5:$A$259,8),'[1]Top25AIDU'!$A$5:$P$259,14,FALSE)</f>
        <v>2.6</v>
      </c>
      <c r="F10" s="11">
        <f>VLOOKUP(LARGE('[1]Top25AIDU'!$A$5:$A$259,8),'[1]Top25AIDU'!$A$5:$P$259,15,FALSE)</f>
        <v>13650.96</v>
      </c>
      <c r="G10" s="12">
        <f>VLOOKUP(LARGE('[1]Top25AIDU'!$A$5:$A$259,8),'[1]Top25AIDU'!$A$5:$P$259,10,FALSE)/VLOOKUP(LARGE('[1]Top25AIDU'!$A$5:$A$259,8),'[1]Top25AIDU'!$A$5:$P$259,13,FALSE)*100</f>
        <v>56.61764705882353</v>
      </c>
      <c r="H10" s="13">
        <f>VLOOKUP(LARGE('[1]Top25AIDU'!$A$5:$A$259,8),'[1]Top25AIDU'!$A$5:$P$259,11,FALSE)/VLOOKUP(LARGE('[1]Top25AIDU'!$A$5:$A$259,8),'[1]Top25AIDU'!$A$5:$P$259,13,FALSE)*100</f>
        <v>43.38235294117647</v>
      </c>
      <c r="I10" s="12">
        <f>VLOOKUP(LARGE('[1]Top25AIDU'!$A$5:$A$259,8),'[1]Top25AIDU'!$A$5:$P$259,4,FALSE)/VLOOKUP(LARGE('[1]Top25AIDU'!$A$5:$A$259,8),'[1]Top25AIDU'!$A$5:$P$259,9,FALSE)*100</f>
        <v>97.05882352941177</v>
      </c>
      <c r="J10" s="14">
        <f>VLOOKUP(LARGE('[1]Top25AIDU'!$A$5:$A$259,8),'[1]Top25AIDU'!$A$5:$P$259,5,FALSE)/VLOOKUP(LARGE('[1]Top25AIDU'!$A$5:$A$259,8),'[1]Top25AIDU'!$A$5:$P$259,9,FALSE)*100</f>
        <v>2.941176470588235</v>
      </c>
      <c r="K10" s="14">
        <f>VLOOKUP(LARGE('[1]Top25AIDU'!$A$5:$A$259,8),'[1]Top25AIDU'!$A$5:$P$259,6,FALSE)/VLOOKUP(LARGE('[1]Top25AIDU'!$A$5:$A$259,8),'[1]Top25AIDU'!$A$5:$P$259,9,FALSE)*100</f>
        <v>0</v>
      </c>
      <c r="L10" s="14">
        <f>VLOOKUP(LARGE('[1]Top25AIDU'!$A$5:$A$259,8),'[1]Top25AIDU'!$A$5:$P$259,7,FALSE)/VLOOKUP(LARGE('[1]Top25AIDU'!$A$5:$A$259,8),'[1]Top25AIDU'!$A$5:$P$259,9,FALSE)*100</f>
        <v>0</v>
      </c>
    </row>
    <row r="11" spans="1:12" ht="11.25">
      <c r="A11" s="8" t="str">
        <f>VLOOKUP(LARGE('[1]Top25AIDU'!$A$5:$C$259,9),'[1]Top25AIDU'!$A$5:$C$259,3,FALSE)</f>
        <v>DIABETES                                                                          </v>
      </c>
      <c r="B11" s="9">
        <f>VLOOKUP(LARGE('[1]Top25AIDU'!$A$5:$C$259,9),'[1]Top25AIDU'!$A$5:$C$259,1,FALSE)</f>
        <v>199</v>
      </c>
      <c r="C11" s="10">
        <f>VLOOKUP(LARGE('[1]Top25AIDU'!$A$5:$C$259,9),'[1]Top25AIDU'!$A$5:$C$259,1,FALSE)/'[1]Top25AIDU'!$I$260*100</f>
        <v>3.4992087216458594</v>
      </c>
      <c r="D11" s="10">
        <f>(VLOOKUP(LARGE('[1]Top25AIDU'!$A$5:$C$259,9),'[1]Top25AIDU'!$A$5:$C$259,1,FALSE)/'[1]Top25AIDU'!$I$261*100)</f>
        <v>1.9509803921568627</v>
      </c>
      <c r="E11" s="10">
        <f>VLOOKUP(LARGE('[1]Top25AIDU'!$A$5:$A$259,9),'[1]Top25AIDU'!$A$5:$P$259,14,FALSE)</f>
        <v>2.6</v>
      </c>
      <c r="F11" s="11">
        <f>VLOOKUP(LARGE('[1]Top25AIDU'!$A$5:$A$259,9),'[1]Top25AIDU'!$A$5:$P$259,15,FALSE)</f>
        <v>15272.4</v>
      </c>
      <c r="G11" s="12">
        <f>VLOOKUP(LARGE('[1]Top25AIDU'!$A$5:$A$259,9),'[1]Top25AIDU'!$A$5:$P$259,10,FALSE)/VLOOKUP(LARGE('[1]Top25AIDU'!$A$5:$A$259,9),'[1]Top25AIDU'!$A$5:$P$259,13,FALSE)*100</f>
        <v>48.743718592964825</v>
      </c>
      <c r="H11" s="13">
        <f>VLOOKUP(LARGE('[1]Top25AIDU'!$A$5:$A$259,9),'[1]Top25AIDU'!$A$5:$P$259,11,FALSE)/VLOOKUP(LARGE('[1]Top25AIDU'!$A$5:$A$259,9),'[1]Top25AIDU'!$A$5:$P$259,13,FALSE)*100</f>
        <v>51.256281407035175</v>
      </c>
      <c r="I11" s="12">
        <f>VLOOKUP(LARGE('[1]Top25AIDU'!$A$5:$A$259,9),'[1]Top25AIDU'!$A$5:$P$259,4,FALSE)/VLOOKUP(LARGE('[1]Top25AIDU'!$A$5:$A$259,9),'[1]Top25AIDU'!$A$5:$P$259,9,FALSE)*100</f>
        <v>96.98492462311557</v>
      </c>
      <c r="J11" s="14">
        <f>VLOOKUP(LARGE('[1]Top25AIDU'!$A$5:$A$259,9),'[1]Top25AIDU'!$A$5:$P$259,5,FALSE)/VLOOKUP(LARGE('[1]Top25AIDU'!$A$5:$A$259,9),'[1]Top25AIDU'!$A$5:$P$259,9,FALSE)*100</f>
        <v>3.015075376884422</v>
      </c>
      <c r="K11" s="14">
        <f>VLOOKUP(LARGE('[1]Top25AIDU'!$A$5:$A$259,9),'[1]Top25AIDU'!$A$5:$P$259,6,FALSE)/VLOOKUP(LARGE('[1]Top25AIDU'!$A$5:$A$259,9),'[1]Top25AIDU'!$A$5:$P$259,9,FALSE)*100</f>
        <v>0</v>
      </c>
      <c r="L11" s="14">
        <f>VLOOKUP(LARGE('[1]Top25AIDU'!$A$5:$A$259,9),'[1]Top25AIDU'!$A$5:$P$259,7,FALSE)/VLOOKUP(LARGE('[1]Top25AIDU'!$A$5:$A$259,9),'[1]Top25AIDU'!$A$5:$P$259,9,FALSE)*100</f>
        <v>0</v>
      </c>
    </row>
    <row r="12" spans="1:12" ht="11.25">
      <c r="A12" s="8" t="str">
        <f>VLOOKUP(LARGE('[1]Top25AIDU'!$A$5:$C$259,10),'[1]Top25AIDU'!$A$5:$C$259,3,FALSE)</f>
        <v>KIDNEY &amp; URINARY TRACT INFECTIONS                                                 </v>
      </c>
      <c r="B12" s="9">
        <f>VLOOKUP(LARGE('[1]Top25AIDU'!$A$5:$C$259,10),'[1]Top25AIDU'!$A$5:$C$259,1,FALSE)</f>
        <v>182</v>
      </c>
      <c r="C12" s="10">
        <f>VLOOKUP(LARGE('[1]Top25AIDU'!$A$5:$C$259,10),'[1]Top25AIDU'!$A$5:$C$259,1,FALSE)/'[1]Top25AIDU'!$I$260*100</f>
        <v>3.2002813434148054</v>
      </c>
      <c r="D12" s="10">
        <f>(VLOOKUP(LARGE('[1]Top25AIDU'!$A$5:$C$259,10),'[1]Top25AIDU'!$A$5:$C$259,1,FALSE)/'[1]Top25AIDU'!$I$261*100)</f>
        <v>1.784313725490196</v>
      </c>
      <c r="E12" s="10">
        <f>VLOOKUP(LARGE('[1]Top25AIDU'!$A$5:$A$259,10),'[1]Top25AIDU'!$A$5:$P$259,14,FALSE)</f>
        <v>3.2</v>
      </c>
      <c r="F12" s="11">
        <f>VLOOKUP(LARGE('[1]Top25AIDU'!$A$5:$A$259,10),'[1]Top25AIDU'!$A$5:$P$259,15,FALSE)</f>
        <v>14607.71</v>
      </c>
      <c r="G12" s="12">
        <f>VLOOKUP(LARGE('[1]Top25AIDU'!$A$5:$A$259,10),'[1]Top25AIDU'!$A$5:$P$259,10,FALSE)/VLOOKUP(LARGE('[1]Top25AIDU'!$A$5:$A$259,10),'[1]Top25AIDU'!$A$5:$P$259,13,FALSE)*100</f>
        <v>25.274725274725274</v>
      </c>
      <c r="H12" s="13">
        <f>VLOOKUP(LARGE('[1]Top25AIDU'!$A$5:$A$259,10),'[1]Top25AIDU'!$A$5:$P$259,11,FALSE)/VLOOKUP(LARGE('[1]Top25AIDU'!$A$5:$A$259,10),'[1]Top25AIDU'!$A$5:$P$259,13,FALSE)*100</f>
        <v>74.72527472527473</v>
      </c>
      <c r="I12" s="12">
        <f>VLOOKUP(LARGE('[1]Top25AIDU'!$A$5:$A$259,10),'[1]Top25AIDU'!$A$5:$P$259,4,FALSE)/VLOOKUP(LARGE('[1]Top25AIDU'!$A$5:$A$259,10),'[1]Top25AIDU'!$A$5:$P$259,9,FALSE)*100</f>
        <v>96.7032967032967</v>
      </c>
      <c r="J12" s="14">
        <f>VLOOKUP(LARGE('[1]Top25AIDU'!$A$5:$A$259,10),'[1]Top25AIDU'!$A$5:$P$259,5,FALSE)/VLOOKUP(LARGE('[1]Top25AIDU'!$A$5:$A$259,10),'[1]Top25AIDU'!$A$5:$P$259,9,FALSE)*100</f>
        <v>3.296703296703297</v>
      </c>
      <c r="K12" s="14">
        <f>VLOOKUP(LARGE('[1]Top25AIDU'!$A$5:$A$259,10),'[1]Top25AIDU'!$A$5:$P$259,6,FALSE)/VLOOKUP(LARGE('[1]Top25AIDU'!$A$5:$A$259,10),'[1]Top25AIDU'!$A$5:$P$259,9,FALSE)*100</f>
        <v>0</v>
      </c>
      <c r="L12" s="14">
        <f>VLOOKUP(LARGE('[1]Top25AIDU'!$A$5:$A$259,10),'[1]Top25AIDU'!$A$5:$P$259,7,FALSE)/VLOOKUP(LARGE('[1]Top25AIDU'!$A$5:$A$259,10),'[1]Top25AIDU'!$A$5:$P$259,9,FALSE)*100</f>
        <v>0</v>
      </c>
    </row>
    <row r="13" spans="1:12" ht="11.25">
      <c r="A13" s="8" t="str">
        <f>VLOOKUP(LARGE('[1]Top25AIDU'!$A$5:$C$259,11),'[1]Top25AIDU'!$A$5:$C$259,3,FALSE)</f>
        <v>VIRAL ILLNESS                                                                     </v>
      </c>
      <c r="B13" s="9">
        <f>VLOOKUP(LARGE('[1]Top25AIDU'!$A$5:$C$259,11),'[1]Top25AIDU'!$A$5:$C$259,1,FALSE)</f>
        <v>176</v>
      </c>
      <c r="C13" s="10">
        <f>VLOOKUP(LARGE('[1]Top25AIDU'!$A$5:$C$259,11),'[1]Top25AIDU'!$A$5:$C$259,1,FALSE)/'[1]Top25AIDU'!$I$260*100</f>
        <v>3.0947775628626695</v>
      </c>
      <c r="D13" s="10">
        <f>(VLOOKUP(LARGE('[1]Top25AIDU'!$A$5:$C$259,11),'[1]Top25AIDU'!$A$5:$C$259,1,FALSE)/'[1]Top25AIDU'!$I$261*100)</f>
        <v>1.7254901960784312</v>
      </c>
      <c r="E13" s="10">
        <f>VLOOKUP(LARGE('[1]Top25AIDU'!$A$5:$A$259,11),'[1]Top25AIDU'!$A$5:$P$259,14,FALSE)</f>
        <v>2.2</v>
      </c>
      <c r="F13" s="11">
        <f>VLOOKUP(LARGE('[1]Top25AIDU'!$A$5:$A$259,11),'[1]Top25AIDU'!$A$5:$P$259,15,FALSE)</f>
        <v>12123.32</v>
      </c>
      <c r="G13" s="12">
        <f>VLOOKUP(LARGE('[1]Top25AIDU'!$A$5:$A$259,11),'[1]Top25AIDU'!$A$5:$P$259,10,FALSE)/VLOOKUP(LARGE('[1]Top25AIDU'!$A$5:$A$259,11),'[1]Top25AIDU'!$A$5:$P$259,13,FALSE)*100</f>
        <v>56.25</v>
      </c>
      <c r="H13" s="13">
        <f>VLOOKUP(LARGE('[1]Top25AIDU'!$A$5:$A$259,11),'[1]Top25AIDU'!$A$5:$P$259,11,FALSE)/VLOOKUP(LARGE('[1]Top25AIDU'!$A$5:$A$259,11),'[1]Top25AIDU'!$A$5:$P$259,13,FALSE)*100</f>
        <v>43.75</v>
      </c>
      <c r="I13" s="12">
        <f>VLOOKUP(LARGE('[1]Top25AIDU'!$A$5:$A$259,11),'[1]Top25AIDU'!$A$5:$P$259,4,FALSE)/VLOOKUP(LARGE('[1]Top25AIDU'!$A$5:$A$259,11),'[1]Top25AIDU'!$A$5:$P$259,9,FALSE)*100</f>
        <v>98.86363636363636</v>
      </c>
      <c r="J13" s="14">
        <f>VLOOKUP(LARGE('[1]Top25AIDU'!$A$5:$A$259,11),'[1]Top25AIDU'!$A$5:$P$259,5,FALSE)/VLOOKUP(LARGE('[1]Top25AIDU'!$A$5:$A$259,11),'[1]Top25AIDU'!$A$5:$P$259,9,FALSE)*100</f>
        <v>1.1363636363636365</v>
      </c>
      <c r="K13" s="14">
        <f>VLOOKUP(LARGE('[1]Top25AIDU'!$A$5:$A$259,11),'[1]Top25AIDU'!$A$5:$P$259,6,FALSE)/VLOOKUP(LARGE('[1]Top25AIDU'!$A$5:$A$259,11),'[1]Top25AIDU'!$A$5:$P$259,9,FALSE)*100</f>
        <v>0</v>
      </c>
      <c r="L13" s="14">
        <f>VLOOKUP(LARGE('[1]Top25AIDU'!$A$5:$A$259,11),'[1]Top25AIDU'!$A$5:$P$259,7,FALSE)/VLOOKUP(LARGE('[1]Top25AIDU'!$A$5:$A$259,11),'[1]Top25AIDU'!$A$5:$P$259,9,FALSE)*100</f>
        <v>0</v>
      </c>
    </row>
    <row r="14" spans="1:12" ht="11.25">
      <c r="A14" s="8" t="str">
        <f>VLOOKUP(LARGE('[1]Top25AIDU'!$A$5:$C$259,12),'[1]Top25AIDU'!$A$5:$C$259,3,FALSE)</f>
        <v>DORSAL &amp; LUMBAR FUSION PROC FOR CURVATURE OF BACK                                 </v>
      </c>
      <c r="B14" s="9">
        <f>VLOOKUP(LARGE('[1]Top25AIDU'!$A$5:$C$259,12),'[1]Top25AIDU'!$A$5:$C$259,1,FALSE)</f>
        <v>171</v>
      </c>
      <c r="C14" s="10">
        <f>VLOOKUP(LARGE('[1]Top25AIDU'!$A$5:$C$259,12),'[1]Top25AIDU'!$A$5:$C$259,1,FALSE)/'[1]Top25AIDU'!$I$260*100</f>
        <v>3.006857745735889</v>
      </c>
      <c r="D14" s="10">
        <f>(VLOOKUP(LARGE('[1]Top25AIDU'!$A$5:$C$259,12),'[1]Top25AIDU'!$A$5:$C$259,1,FALSE)/'[1]Top25AIDU'!$I$261*100)</f>
        <v>1.6764705882352942</v>
      </c>
      <c r="E14" s="10">
        <f>VLOOKUP(LARGE('[1]Top25AIDU'!$A$5:$A$259,12),'[1]Top25AIDU'!$A$5:$P$259,14,FALSE)</f>
        <v>10</v>
      </c>
      <c r="F14" s="11">
        <f>VLOOKUP(LARGE('[1]Top25AIDU'!$A$5:$A$259,12),'[1]Top25AIDU'!$A$5:$P$259,15,FALSE)</f>
        <v>160692.39</v>
      </c>
      <c r="G14" s="12">
        <f>VLOOKUP(LARGE('[1]Top25AIDU'!$A$5:$A$259,12),'[1]Top25AIDU'!$A$5:$P$259,10,FALSE)/VLOOKUP(LARGE('[1]Top25AIDU'!$A$5:$A$259,12),'[1]Top25AIDU'!$A$5:$P$259,13,FALSE)*100</f>
        <v>35.67251461988304</v>
      </c>
      <c r="H14" s="13">
        <f>VLOOKUP(LARGE('[1]Top25AIDU'!$A$5:$A$259,12),'[1]Top25AIDU'!$A$5:$P$259,11,FALSE)/VLOOKUP(LARGE('[1]Top25AIDU'!$A$5:$A$259,12),'[1]Top25AIDU'!$A$5:$P$259,13,FALSE)*100</f>
        <v>64.32748538011695</v>
      </c>
      <c r="I14" s="12">
        <f>VLOOKUP(LARGE('[1]Top25AIDU'!$A$5:$A$259,12),'[1]Top25AIDU'!$A$5:$P$259,4,FALSE)/VLOOKUP(LARGE('[1]Top25AIDU'!$A$5:$A$259,12),'[1]Top25AIDU'!$A$5:$P$259,9,FALSE)*100</f>
        <v>86.54970760233918</v>
      </c>
      <c r="J14" s="14">
        <f>VLOOKUP(LARGE('[1]Top25AIDU'!$A$5:$A$259,12),'[1]Top25AIDU'!$A$5:$P$259,5,FALSE)/VLOOKUP(LARGE('[1]Top25AIDU'!$A$5:$A$259,12),'[1]Top25AIDU'!$A$5:$P$259,9,FALSE)*100</f>
        <v>13.450292397660817</v>
      </c>
      <c r="K14" s="14">
        <f>VLOOKUP(LARGE('[1]Top25AIDU'!$A$5:$A$259,12),'[1]Top25AIDU'!$A$5:$P$259,6,FALSE)/VLOOKUP(LARGE('[1]Top25AIDU'!$A$5:$A$259,12),'[1]Top25AIDU'!$A$5:$P$259,9,FALSE)*100</f>
        <v>0</v>
      </c>
      <c r="L14" s="14">
        <f>VLOOKUP(LARGE('[1]Top25AIDU'!$A$5:$A$259,12),'[1]Top25AIDU'!$A$5:$P$259,7,FALSE)/VLOOKUP(LARGE('[1]Top25AIDU'!$A$5:$A$259,12),'[1]Top25AIDU'!$A$5:$P$259,9,FALSE)*100</f>
        <v>0</v>
      </c>
    </row>
    <row r="15" spans="1:12" ht="11.25">
      <c r="A15" s="8" t="str">
        <f>VLOOKUP(LARGE('[1]Top25AIDU'!$A$5:$C$259,13),'[1]Top25AIDU'!$A$5:$C$259,3,FALSE)</f>
        <v>HYPOVOLEMIA &amp; RELATED ELECTROLYTE DISORDERS                                       </v>
      </c>
      <c r="B15" s="9">
        <f>VLOOKUP(LARGE('[1]Top25AIDU'!$A$5:$C$259,13),'[1]Top25AIDU'!$A$5:$C$259,1,FALSE)</f>
        <v>169</v>
      </c>
      <c r="C15" s="10">
        <f>VLOOKUP(LARGE('[1]Top25AIDU'!$A$5:$C$259,13),'[1]Top25AIDU'!$A$5:$C$259,1,FALSE)/'[1]Top25AIDU'!$I$260*100</f>
        <v>2.9716898188851766</v>
      </c>
      <c r="D15" s="10">
        <f>(VLOOKUP(LARGE('[1]Top25AIDU'!$A$5:$C$259,13),'[1]Top25AIDU'!$A$5:$C$259,1,FALSE)/'[1]Top25AIDU'!$I$261*100)</f>
        <v>1.656862745098039</v>
      </c>
      <c r="E15" s="10">
        <f>VLOOKUP(LARGE('[1]Top25AIDU'!$A$5:$A$259,13),'[1]Top25AIDU'!$A$5:$P$259,14,FALSE)</f>
        <v>2.2</v>
      </c>
      <c r="F15" s="11">
        <f>VLOOKUP(LARGE('[1]Top25AIDU'!$A$5:$A$259,13),'[1]Top25AIDU'!$A$5:$P$259,15,FALSE)</f>
        <v>10972.59</v>
      </c>
      <c r="G15" s="12">
        <f>VLOOKUP(LARGE('[1]Top25AIDU'!$A$5:$A$259,13),'[1]Top25AIDU'!$A$5:$P$259,10,FALSE)/VLOOKUP(LARGE('[1]Top25AIDU'!$A$5:$A$259,13),'[1]Top25AIDU'!$A$5:$P$259,13,FALSE)*100</f>
        <v>55.02958579881657</v>
      </c>
      <c r="H15" s="13">
        <f>VLOOKUP(LARGE('[1]Top25AIDU'!$A$5:$A$259,13),'[1]Top25AIDU'!$A$5:$P$259,11,FALSE)/VLOOKUP(LARGE('[1]Top25AIDU'!$A$5:$A$259,13),'[1]Top25AIDU'!$A$5:$P$259,13,FALSE)*100</f>
        <v>44.97041420118343</v>
      </c>
      <c r="I15" s="12">
        <f>VLOOKUP(LARGE('[1]Top25AIDU'!$A$5:$A$259,13),'[1]Top25AIDU'!$A$5:$P$259,4,FALSE)/VLOOKUP(LARGE('[1]Top25AIDU'!$A$5:$A$259,13),'[1]Top25AIDU'!$A$5:$P$259,9,FALSE)*100</f>
        <v>97.63313609467455</v>
      </c>
      <c r="J15" s="14">
        <f>VLOOKUP(LARGE('[1]Top25AIDU'!$A$5:$A$259,13),'[1]Top25AIDU'!$A$5:$P$259,5,FALSE)/VLOOKUP(LARGE('[1]Top25AIDU'!$A$5:$A$259,13),'[1]Top25AIDU'!$A$5:$P$259,9,FALSE)*100</f>
        <v>2.366863905325444</v>
      </c>
      <c r="K15" s="14">
        <f>VLOOKUP(LARGE('[1]Top25AIDU'!$A$5:$A$259,13),'[1]Top25AIDU'!$A$5:$P$259,6,FALSE)/VLOOKUP(LARGE('[1]Top25AIDU'!$A$5:$A$259,13),'[1]Top25AIDU'!$A$5:$P$259,9,FALSE)*100</f>
        <v>0</v>
      </c>
      <c r="L15" s="14">
        <f>VLOOKUP(LARGE('[1]Top25AIDU'!$A$5:$A$259,13),'[1]Top25AIDU'!$A$5:$P$259,7,FALSE)/VLOOKUP(LARGE('[1]Top25AIDU'!$A$5:$A$259,13),'[1]Top25AIDU'!$A$5:$P$259,9,FALSE)*100</f>
        <v>0</v>
      </c>
    </row>
    <row r="16" spans="1:12" ht="11.25">
      <c r="A16" s="8" t="str">
        <f>VLOOKUP(LARGE('[1]Top25AIDU'!$A$5:$C$259,14),'[1]Top25AIDU'!$A$5:$C$259,3,FALSE)</f>
        <v>HIP &amp; FEMUR PROCEDURES FOR NON-TRAUMA EXCEPT JOINT REPLACEMENT                    </v>
      </c>
      <c r="B16" s="9">
        <f>VLOOKUP(LARGE('[1]Top25AIDU'!$A$5:$C$259,14),'[1]Top25AIDU'!$A$5:$C$259,1,FALSE)</f>
        <v>166</v>
      </c>
      <c r="C16" s="10">
        <f>VLOOKUP(LARGE('[1]Top25AIDU'!$A$5:$C$259,14),'[1]Top25AIDU'!$A$5:$C$259,1,FALSE)/'[1]Top25AIDU'!$I$260*100</f>
        <v>2.918937928609109</v>
      </c>
      <c r="D16" s="10">
        <f>(VLOOKUP(LARGE('[1]Top25AIDU'!$A$5:$C$259,14),'[1]Top25AIDU'!$A$5:$C$259,1,FALSE)/'[1]Top25AIDU'!$I$261*100)</f>
        <v>1.6274509803921569</v>
      </c>
      <c r="E16" s="10">
        <f>VLOOKUP(LARGE('[1]Top25AIDU'!$A$5:$A$259,14),'[1]Top25AIDU'!$A$5:$P$259,14,FALSE)</f>
        <v>3.5</v>
      </c>
      <c r="F16" s="11">
        <f>VLOOKUP(LARGE('[1]Top25AIDU'!$A$5:$A$259,14),'[1]Top25AIDU'!$A$5:$P$259,15,FALSE)</f>
        <v>36819.7</v>
      </c>
      <c r="G16" s="12">
        <f>VLOOKUP(LARGE('[1]Top25AIDU'!$A$5:$A$259,14),'[1]Top25AIDU'!$A$5:$P$259,10,FALSE)/VLOOKUP(LARGE('[1]Top25AIDU'!$A$5:$A$259,14),'[1]Top25AIDU'!$A$5:$P$259,13,FALSE)*100</f>
        <v>51.80722891566265</v>
      </c>
      <c r="H16" s="13">
        <f>VLOOKUP(LARGE('[1]Top25AIDU'!$A$5:$A$259,14),'[1]Top25AIDU'!$A$5:$P$259,11,FALSE)/VLOOKUP(LARGE('[1]Top25AIDU'!$A$5:$A$259,14),'[1]Top25AIDU'!$A$5:$P$259,13,FALSE)*100</f>
        <v>48.19277108433735</v>
      </c>
      <c r="I16" s="12">
        <f>VLOOKUP(LARGE('[1]Top25AIDU'!$A$5:$A$259,14),'[1]Top25AIDU'!$A$5:$P$259,4,FALSE)/VLOOKUP(LARGE('[1]Top25AIDU'!$A$5:$A$259,14),'[1]Top25AIDU'!$A$5:$P$259,9,FALSE)*100</f>
        <v>95.78313253012048</v>
      </c>
      <c r="J16" s="14">
        <f>VLOOKUP(LARGE('[1]Top25AIDU'!$A$5:$A$259,14),'[1]Top25AIDU'!$A$5:$P$259,5,FALSE)/VLOOKUP(LARGE('[1]Top25AIDU'!$A$5:$A$259,14),'[1]Top25AIDU'!$A$5:$P$259,9,FALSE)*100</f>
        <v>4.216867469879518</v>
      </c>
      <c r="K16" s="14">
        <f>VLOOKUP(LARGE('[1]Top25AIDU'!$A$5:$A$259,14),'[1]Top25AIDU'!$A$5:$P$259,6,FALSE)/VLOOKUP(LARGE('[1]Top25AIDU'!$A$5:$A$259,14),'[1]Top25AIDU'!$A$5:$P$259,9,FALSE)*100</f>
        <v>0</v>
      </c>
      <c r="L16" s="14">
        <f>VLOOKUP(LARGE('[1]Top25AIDU'!$A$5:$A$259,14),'[1]Top25AIDU'!$A$5:$P$259,7,FALSE)/VLOOKUP(LARGE('[1]Top25AIDU'!$A$5:$A$259,14),'[1]Top25AIDU'!$A$5:$P$259,9,FALSE)*100</f>
        <v>0</v>
      </c>
    </row>
    <row r="17" spans="1:12" ht="11.25">
      <c r="A17" s="8" t="str">
        <f>VLOOKUP(LARGE('[1]Top25AIDU'!$A$5:$C$259,15),'[1]Top25AIDU'!$A$5:$C$259,3,FALSE)</f>
        <v>CHEMOTHERAPY                                                                      </v>
      </c>
      <c r="B17" s="9">
        <f>VLOOKUP(LARGE('[1]Top25AIDU'!$A$5:$C$259,15),'[1]Top25AIDU'!$A$5:$C$259,1,FALSE)</f>
        <v>161</v>
      </c>
      <c r="C17" s="10">
        <f>VLOOKUP(LARGE('[1]Top25AIDU'!$A$5:$C$259,15),'[1]Top25AIDU'!$A$5:$C$259,1,FALSE)/'[1]Top25AIDU'!$I$260*100</f>
        <v>2.831018111482328</v>
      </c>
      <c r="D17" s="10">
        <f>(VLOOKUP(LARGE('[1]Top25AIDU'!$A$5:$C$259,15),'[1]Top25AIDU'!$A$5:$C$259,1,FALSE)/'[1]Top25AIDU'!$I$261*100)</f>
        <v>1.5784313725490198</v>
      </c>
      <c r="E17" s="10">
        <f>VLOOKUP(LARGE('[1]Top25AIDU'!$A$5:$A$259,15),'[1]Top25AIDU'!$A$5:$P$259,14,FALSE)</f>
        <v>5</v>
      </c>
      <c r="F17" s="11">
        <f>VLOOKUP(LARGE('[1]Top25AIDU'!$A$5:$A$259,15),'[1]Top25AIDU'!$A$5:$P$259,15,FALSE)</f>
        <v>28898.89</v>
      </c>
      <c r="G17" s="12">
        <f>VLOOKUP(LARGE('[1]Top25AIDU'!$A$5:$A$259,15),'[1]Top25AIDU'!$A$5:$P$259,10,FALSE)/VLOOKUP(LARGE('[1]Top25AIDU'!$A$5:$A$259,15),'[1]Top25AIDU'!$A$5:$P$259,13,FALSE)*100</f>
        <v>42.857142857142854</v>
      </c>
      <c r="H17" s="13">
        <f>VLOOKUP(LARGE('[1]Top25AIDU'!$A$5:$A$259,15),'[1]Top25AIDU'!$A$5:$P$259,11,FALSE)/VLOOKUP(LARGE('[1]Top25AIDU'!$A$5:$A$259,15),'[1]Top25AIDU'!$A$5:$P$259,13,FALSE)*100</f>
        <v>57.14285714285714</v>
      </c>
      <c r="I17" s="12">
        <f>VLOOKUP(LARGE('[1]Top25AIDU'!$A$5:$A$259,15),'[1]Top25AIDU'!$A$5:$P$259,4,FALSE)/VLOOKUP(LARGE('[1]Top25AIDU'!$A$5:$A$259,15),'[1]Top25AIDU'!$A$5:$P$259,9,FALSE)*100</f>
        <v>92.54658385093167</v>
      </c>
      <c r="J17" s="14">
        <f>VLOOKUP(LARGE('[1]Top25AIDU'!$A$5:$A$259,15),'[1]Top25AIDU'!$A$5:$P$259,5,FALSE)/VLOOKUP(LARGE('[1]Top25AIDU'!$A$5:$A$259,15),'[1]Top25AIDU'!$A$5:$P$259,9,FALSE)*100</f>
        <v>7.453416149068323</v>
      </c>
      <c r="K17" s="14">
        <f>VLOOKUP(LARGE('[1]Top25AIDU'!$A$5:$A$259,15),'[1]Top25AIDU'!$A$5:$P$259,6,FALSE)/VLOOKUP(LARGE('[1]Top25AIDU'!$A$5:$A$259,15),'[1]Top25AIDU'!$A$5:$P$259,9,FALSE)*100</f>
        <v>0</v>
      </c>
      <c r="L17" s="14">
        <f>VLOOKUP(LARGE('[1]Top25AIDU'!$A$5:$A$259,15),'[1]Top25AIDU'!$A$5:$P$259,7,FALSE)/VLOOKUP(LARGE('[1]Top25AIDU'!$A$5:$A$259,15),'[1]Top25AIDU'!$A$5:$P$259,9,FALSE)*100</f>
        <v>0</v>
      </c>
    </row>
    <row r="18" spans="1:12" ht="11.25">
      <c r="A18" s="8" t="str">
        <f>VLOOKUP(LARGE('[1]Top25AIDU'!$A$5:$C$259,16),'[1]Top25AIDU'!$A$5:$C$259,3,FALSE)</f>
        <v>SICKLE CELL ANEMIA CRISIS                                                         </v>
      </c>
      <c r="B18" s="9">
        <f>VLOOKUP(LARGE('[1]Top25AIDU'!$A$5:$C$259,16),'[1]Top25AIDU'!$A$5:$C$259,1,FALSE)</f>
        <v>133</v>
      </c>
      <c r="C18" s="10">
        <f>VLOOKUP(LARGE('[1]Top25AIDU'!$A$5:$C$259,16),'[1]Top25AIDU'!$A$5:$C$259,1,FALSE)/'[1]Top25AIDU'!$I$260*100</f>
        <v>2.338667135572358</v>
      </c>
      <c r="D18" s="10">
        <f>(VLOOKUP(LARGE('[1]Top25AIDU'!$A$5:$C$259,16),'[1]Top25AIDU'!$A$5:$C$259,1,FALSE)/'[1]Top25AIDU'!$I$261*100)</f>
        <v>1.303921568627451</v>
      </c>
      <c r="E18" s="10">
        <f>VLOOKUP(LARGE('[1]Top25AIDU'!$A$5:$A$259,16),'[1]Top25AIDU'!$A$5:$P$259,14,FALSE)</f>
        <v>3.8</v>
      </c>
      <c r="F18" s="11">
        <f>VLOOKUP(LARGE('[1]Top25AIDU'!$A$5:$A$259,16),'[1]Top25AIDU'!$A$5:$P$259,15,FALSE)</f>
        <v>18763.49</v>
      </c>
      <c r="G18" s="12">
        <f>VLOOKUP(LARGE('[1]Top25AIDU'!$A$5:$A$259,16),'[1]Top25AIDU'!$A$5:$P$259,10,FALSE)/VLOOKUP(LARGE('[1]Top25AIDU'!$A$5:$A$259,16),'[1]Top25AIDU'!$A$5:$P$259,13,FALSE)*100</f>
        <v>64.66165413533834</v>
      </c>
      <c r="H18" s="13">
        <f>VLOOKUP(LARGE('[1]Top25AIDU'!$A$5:$A$259,16),'[1]Top25AIDU'!$A$5:$P$259,11,FALSE)/VLOOKUP(LARGE('[1]Top25AIDU'!$A$5:$A$259,16),'[1]Top25AIDU'!$A$5:$P$259,13,FALSE)*100</f>
        <v>35.338345864661655</v>
      </c>
      <c r="I18" s="12">
        <f>VLOOKUP(LARGE('[1]Top25AIDU'!$A$5:$A$259,16),'[1]Top25AIDU'!$A$5:$P$259,4,FALSE)/VLOOKUP(LARGE('[1]Top25AIDU'!$A$5:$A$259,16),'[1]Top25AIDU'!$A$5:$P$259,9,FALSE)*100</f>
        <v>79.69924812030075</v>
      </c>
      <c r="J18" s="14">
        <f>VLOOKUP(LARGE('[1]Top25AIDU'!$A$5:$A$259,16),'[1]Top25AIDU'!$A$5:$P$259,5,FALSE)/VLOOKUP(LARGE('[1]Top25AIDU'!$A$5:$A$259,16),'[1]Top25AIDU'!$A$5:$P$259,9,FALSE)*100</f>
        <v>20.30075187969925</v>
      </c>
      <c r="K18" s="14">
        <f>VLOOKUP(LARGE('[1]Top25AIDU'!$A$5:$A$259,16),'[1]Top25AIDU'!$A$5:$P$259,6,FALSE)/VLOOKUP(LARGE('[1]Top25AIDU'!$A$5:$A$259,16),'[1]Top25AIDU'!$A$5:$P$259,9,FALSE)*100</f>
        <v>0</v>
      </c>
      <c r="L18" s="14">
        <f>VLOOKUP(LARGE('[1]Top25AIDU'!$A$5:$A$259,16),'[1]Top25AIDU'!$A$5:$P$259,7,FALSE)/VLOOKUP(LARGE('[1]Top25AIDU'!$A$5:$A$259,16),'[1]Top25AIDU'!$A$5:$P$259,9,FALSE)*100</f>
        <v>0</v>
      </c>
    </row>
    <row r="19" spans="1:12" ht="11.25">
      <c r="A19" s="8" t="str">
        <f>VLOOKUP(LARGE('[1]Top25AIDU'!$A$5:$C$259,17),'[1]Top25AIDU'!$A$5:$C$259,3,FALSE)</f>
        <v>OTHER ESOPHAGEAL DISORDERS                                                        </v>
      </c>
      <c r="B19" s="9">
        <f>VLOOKUP(LARGE('[1]Top25AIDU'!$A$5:$C$259,17),'[1]Top25AIDU'!$A$5:$C$259,1,FALSE)</f>
        <v>126</v>
      </c>
      <c r="C19" s="10">
        <f>VLOOKUP(LARGE('[1]Top25AIDU'!$A$5:$C$259,17),'[1]Top25AIDU'!$A$5:$C$259,1,FALSE)/'[1]Top25AIDU'!$I$260*100</f>
        <v>2.2155793915948654</v>
      </c>
      <c r="D19" s="10">
        <f>(VLOOKUP(LARGE('[1]Top25AIDU'!$A$5:$C$259,17),'[1]Top25AIDU'!$A$5:$C$259,1,FALSE)/'[1]Top25AIDU'!$I$261*100)</f>
        <v>1.2352941176470587</v>
      </c>
      <c r="E19" s="10">
        <f>VLOOKUP(LARGE('[1]Top25AIDU'!$A$5:$A$259,17),'[1]Top25AIDU'!$A$5:$P$259,14,FALSE)</f>
        <v>2.3</v>
      </c>
      <c r="F19" s="11">
        <f>VLOOKUP(LARGE('[1]Top25AIDU'!$A$5:$A$259,17),'[1]Top25AIDU'!$A$5:$P$259,15,FALSE)</f>
        <v>12433.75</v>
      </c>
      <c r="G19" s="12">
        <f>VLOOKUP(LARGE('[1]Top25AIDU'!$A$5:$A$259,17),'[1]Top25AIDU'!$A$5:$P$259,10,FALSE)/VLOOKUP(LARGE('[1]Top25AIDU'!$A$5:$A$259,17),'[1]Top25AIDU'!$A$5:$P$259,13,FALSE)*100</f>
        <v>53.17460317460318</v>
      </c>
      <c r="H19" s="13">
        <f>VLOOKUP(LARGE('[1]Top25AIDU'!$A$5:$A$259,17),'[1]Top25AIDU'!$A$5:$P$259,11,FALSE)/VLOOKUP(LARGE('[1]Top25AIDU'!$A$5:$A$259,17),'[1]Top25AIDU'!$A$5:$P$259,13,FALSE)*100</f>
        <v>46.82539682539682</v>
      </c>
      <c r="I19" s="12">
        <f>VLOOKUP(LARGE('[1]Top25AIDU'!$A$5:$A$259,17),'[1]Top25AIDU'!$A$5:$P$259,4,FALSE)/VLOOKUP(LARGE('[1]Top25AIDU'!$A$5:$A$259,17),'[1]Top25AIDU'!$A$5:$P$259,9,FALSE)*100</f>
        <v>99.20634920634922</v>
      </c>
      <c r="J19" s="14">
        <f>VLOOKUP(LARGE('[1]Top25AIDU'!$A$5:$A$259,17),'[1]Top25AIDU'!$A$5:$P$259,5,FALSE)/VLOOKUP(LARGE('[1]Top25AIDU'!$A$5:$A$259,17),'[1]Top25AIDU'!$A$5:$P$259,9,FALSE)*100</f>
        <v>0.7936507936507936</v>
      </c>
      <c r="K19" s="14">
        <f>VLOOKUP(LARGE('[1]Top25AIDU'!$A$5:$A$259,17),'[1]Top25AIDU'!$A$5:$P$259,6,FALSE)/VLOOKUP(LARGE('[1]Top25AIDU'!$A$5:$A$259,17),'[1]Top25AIDU'!$A$5:$P$259,9,FALSE)*100</f>
        <v>0</v>
      </c>
      <c r="L19" s="14">
        <f>VLOOKUP(LARGE('[1]Top25AIDU'!$A$5:$A$259,17),'[1]Top25AIDU'!$A$5:$P$259,7,FALSE)/VLOOKUP(LARGE('[1]Top25AIDU'!$A$5:$A$259,17),'[1]Top25AIDU'!$A$5:$P$259,9,FALSE)*100</f>
        <v>0</v>
      </c>
    </row>
    <row r="20" spans="1:12" ht="11.25">
      <c r="A20" s="8" t="str">
        <f>VLOOKUP(LARGE('[1]Top25AIDU'!$A$5:$C$259,18),'[1]Top25AIDU'!$A$5:$C$259,3,FALSE)</f>
        <v>APPENDECTOMY                                                                      </v>
      </c>
      <c r="B20" s="9">
        <f>VLOOKUP(LARGE('[1]Top25AIDU'!$A$5:$C$259,18),'[1]Top25AIDU'!$A$5:$C$259,1,FALSE)</f>
        <v>121</v>
      </c>
      <c r="C20" s="10">
        <f>VLOOKUP(LARGE('[1]Top25AIDU'!$A$5:$C$259,18),'[1]Top25AIDU'!$A$5:$C$259,1,FALSE)/'[1]Top25AIDU'!$I$260*100</f>
        <v>2.127659574468085</v>
      </c>
      <c r="D20" s="10">
        <f>(VLOOKUP(LARGE('[1]Top25AIDU'!$A$5:$C$259,18),'[1]Top25AIDU'!$A$5:$C$259,1,FALSE)/'[1]Top25AIDU'!$I$261*100)</f>
        <v>1.1862745098039216</v>
      </c>
      <c r="E20" s="10">
        <f>VLOOKUP(LARGE('[1]Top25AIDU'!$A$5:$A$259,18),'[1]Top25AIDU'!$A$5:$P$259,14,FALSE)</f>
        <v>2.7</v>
      </c>
      <c r="F20" s="11">
        <f>VLOOKUP(LARGE('[1]Top25AIDU'!$A$5:$A$259,18),'[1]Top25AIDU'!$A$5:$P$259,15,FALSE)</f>
        <v>22447.62</v>
      </c>
      <c r="G20" s="12">
        <f>VLOOKUP(LARGE('[1]Top25AIDU'!$A$5:$A$259,18),'[1]Top25AIDU'!$A$5:$P$259,10,FALSE)/VLOOKUP(LARGE('[1]Top25AIDU'!$A$5:$A$259,18),'[1]Top25AIDU'!$A$5:$P$259,13,FALSE)*100</f>
        <v>59.50413223140496</v>
      </c>
      <c r="H20" s="13">
        <f>VLOOKUP(LARGE('[1]Top25AIDU'!$A$5:$A$259,18),'[1]Top25AIDU'!$A$5:$P$259,11,FALSE)/VLOOKUP(LARGE('[1]Top25AIDU'!$A$5:$A$259,18),'[1]Top25AIDU'!$A$5:$P$259,13,FALSE)*100</f>
        <v>40.49586776859504</v>
      </c>
      <c r="I20" s="12">
        <f>VLOOKUP(LARGE('[1]Top25AIDU'!$A$5:$A$259,18),'[1]Top25AIDU'!$A$5:$P$259,4,FALSE)/VLOOKUP(LARGE('[1]Top25AIDU'!$A$5:$A$259,18),'[1]Top25AIDU'!$A$5:$P$259,9,FALSE)*100</f>
        <v>100</v>
      </c>
      <c r="J20" s="14">
        <f>VLOOKUP(LARGE('[1]Top25AIDU'!$A$5:$A$259,18),'[1]Top25AIDU'!$A$5:$P$259,5,FALSE)/VLOOKUP(LARGE('[1]Top25AIDU'!$A$5:$A$259,18),'[1]Top25AIDU'!$A$5:$P$259,9,FALSE)*100</f>
        <v>0</v>
      </c>
      <c r="K20" s="14">
        <f>VLOOKUP(LARGE('[1]Top25AIDU'!$A$5:$A$259,18),'[1]Top25AIDU'!$A$5:$P$259,6,FALSE)/VLOOKUP(LARGE('[1]Top25AIDU'!$A$5:$A$259,18),'[1]Top25AIDU'!$A$5:$P$259,9,FALSE)*100</f>
        <v>0</v>
      </c>
      <c r="L20" s="14">
        <f>VLOOKUP(LARGE('[1]Top25AIDU'!$A$5:$A$259,18),'[1]Top25AIDU'!$A$5:$P$259,7,FALSE)/VLOOKUP(LARGE('[1]Top25AIDU'!$A$5:$A$259,18),'[1]Top25AIDU'!$A$5:$P$259,9,FALSE)*100</f>
        <v>0</v>
      </c>
    </row>
    <row r="21" spans="1:12" ht="11.25">
      <c r="A21" s="8" t="str">
        <f>VLOOKUP(LARGE('[1]Top25AIDU'!$A$5:$C$259,19),'[1]Top25AIDU'!$A$5:$C$259,3,FALSE)</f>
        <v>SIGNS, SYMPTOMS &amp; OTHER FACTORS INFLUENCING HEALTH STATUS                         </v>
      </c>
      <c r="B21" s="9">
        <f>VLOOKUP(LARGE('[1]Top25AIDU'!$A$5:$C$259,19),'[1]Top25AIDU'!$A$5:$C$259,1,FALSE)</f>
        <v>115</v>
      </c>
      <c r="C21" s="10">
        <f>VLOOKUP(LARGE('[1]Top25AIDU'!$A$5:$C$259,19),'[1]Top25AIDU'!$A$5:$C$259,1,FALSE)/'[1]Top25AIDU'!$I$260*100</f>
        <v>2.0221557939159487</v>
      </c>
      <c r="D21" s="10">
        <f>(VLOOKUP(LARGE('[1]Top25AIDU'!$A$5:$C$259,19),'[1]Top25AIDU'!$A$5:$C$259,1,FALSE)/'[1]Top25AIDU'!$I$261*100)</f>
        <v>1.1274509803921569</v>
      </c>
      <c r="E21" s="10">
        <f>VLOOKUP(LARGE('[1]Top25AIDU'!$A$5:$A$259,19),'[1]Top25AIDU'!$A$5:$P$259,14,FALSE)</f>
        <v>3.8</v>
      </c>
      <c r="F21" s="11">
        <f>VLOOKUP(LARGE('[1]Top25AIDU'!$A$5:$A$259,19),'[1]Top25AIDU'!$A$5:$P$259,15,FALSE)</f>
        <v>27102.02</v>
      </c>
      <c r="G21" s="12">
        <f>VLOOKUP(LARGE('[1]Top25AIDU'!$A$5:$A$259,19),'[1]Top25AIDU'!$A$5:$P$259,10,FALSE)/VLOOKUP(LARGE('[1]Top25AIDU'!$A$5:$A$259,19),'[1]Top25AIDU'!$A$5:$P$259,13,FALSE)*100</f>
        <v>50.43478260869565</v>
      </c>
      <c r="H21" s="13">
        <f>VLOOKUP(LARGE('[1]Top25AIDU'!$A$5:$A$259,19),'[1]Top25AIDU'!$A$5:$P$259,11,FALSE)/VLOOKUP(LARGE('[1]Top25AIDU'!$A$5:$A$259,19),'[1]Top25AIDU'!$A$5:$P$259,13,FALSE)*100</f>
        <v>49.56521739130435</v>
      </c>
      <c r="I21" s="12">
        <f>VLOOKUP(LARGE('[1]Top25AIDU'!$A$5:$A$259,19),'[1]Top25AIDU'!$A$5:$P$259,4,FALSE)/VLOOKUP(LARGE('[1]Top25AIDU'!$A$5:$A$259,19),'[1]Top25AIDU'!$A$5:$P$259,9,FALSE)*100</f>
        <v>96.52173913043478</v>
      </c>
      <c r="J21" s="14">
        <f>VLOOKUP(LARGE('[1]Top25AIDU'!$A$5:$A$259,19),'[1]Top25AIDU'!$A$5:$P$259,5,FALSE)/VLOOKUP(LARGE('[1]Top25AIDU'!$A$5:$A$259,19),'[1]Top25AIDU'!$A$5:$P$259,9,FALSE)*100</f>
        <v>3.4782608695652173</v>
      </c>
      <c r="K21" s="14">
        <f>VLOOKUP(LARGE('[1]Top25AIDU'!$A$5:$A$259,19),'[1]Top25AIDU'!$A$5:$P$259,6,FALSE)/VLOOKUP(LARGE('[1]Top25AIDU'!$A$5:$A$259,19),'[1]Top25AIDU'!$A$5:$P$259,9,FALSE)*100</f>
        <v>0</v>
      </c>
      <c r="L21" s="14">
        <f>VLOOKUP(LARGE('[1]Top25AIDU'!$A$5:$A$259,19),'[1]Top25AIDU'!$A$5:$P$259,7,FALSE)/VLOOKUP(LARGE('[1]Top25AIDU'!$A$5:$A$259,19),'[1]Top25AIDU'!$A$5:$P$259,9,FALSE)*100</f>
        <v>0</v>
      </c>
    </row>
    <row r="22" spans="1:12" ht="11.25">
      <c r="A22" s="8" t="str">
        <f>VLOOKUP(LARGE('[1]Top25AIDU'!$A$5:$C$259,20),'[1]Top25AIDU'!$A$5:$C$259,3,FALSE)</f>
        <v>TONSIL &amp; ADENOID PROCEDURES                                                       </v>
      </c>
      <c r="B22" s="9">
        <f>VLOOKUP(LARGE('[1]Top25AIDU'!$A$5:$C$259,20),'[1]Top25AIDU'!$A$5:$C$259,1,FALSE)</f>
        <v>112</v>
      </c>
      <c r="C22" s="10">
        <f>VLOOKUP(LARGE('[1]Top25AIDU'!$A$5:$C$259,20),'[1]Top25AIDU'!$A$5:$C$259,1,FALSE)/'[1]Top25AIDU'!$I$260*100</f>
        <v>1.9694039036398805</v>
      </c>
      <c r="D22" s="10">
        <f>(VLOOKUP(LARGE('[1]Top25AIDU'!$A$5:$C$259,20),'[1]Top25AIDU'!$A$5:$C$259,1,FALSE)/'[1]Top25AIDU'!$I$261*100)</f>
        <v>1.0980392156862746</v>
      </c>
      <c r="E22" s="10">
        <f>VLOOKUP(LARGE('[1]Top25AIDU'!$A$5:$A$259,20),'[1]Top25AIDU'!$A$5:$P$259,14,FALSE)</f>
        <v>2.2</v>
      </c>
      <c r="F22" s="11">
        <f>VLOOKUP(LARGE('[1]Top25AIDU'!$A$5:$A$259,20),'[1]Top25AIDU'!$A$5:$P$259,15,FALSE)</f>
        <v>17497.85</v>
      </c>
      <c r="G22" s="12">
        <f>VLOOKUP(LARGE('[1]Top25AIDU'!$A$5:$A$259,20),'[1]Top25AIDU'!$A$5:$P$259,10,FALSE)/VLOOKUP(LARGE('[1]Top25AIDU'!$A$5:$A$259,20),'[1]Top25AIDU'!$A$5:$P$259,13,FALSE)*100</f>
        <v>47.32142857142857</v>
      </c>
      <c r="H22" s="13">
        <f>VLOOKUP(LARGE('[1]Top25AIDU'!$A$5:$A$259,20),'[1]Top25AIDU'!$A$5:$P$259,11,FALSE)/VLOOKUP(LARGE('[1]Top25AIDU'!$A$5:$A$259,20),'[1]Top25AIDU'!$A$5:$P$259,13,FALSE)*100</f>
        <v>52.67857142857143</v>
      </c>
      <c r="I22" s="12">
        <f>VLOOKUP(LARGE('[1]Top25AIDU'!$A$5:$A$259,20),'[1]Top25AIDU'!$A$5:$P$259,4,FALSE)/VLOOKUP(LARGE('[1]Top25AIDU'!$A$5:$A$259,20),'[1]Top25AIDU'!$A$5:$P$259,9,FALSE)*100</f>
        <v>99.10714285714286</v>
      </c>
      <c r="J22" s="14">
        <f>VLOOKUP(LARGE('[1]Top25AIDU'!$A$5:$A$259,20),'[1]Top25AIDU'!$A$5:$P$259,5,FALSE)/VLOOKUP(LARGE('[1]Top25AIDU'!$A$5:$A$259,20),'[1]Top25AIDU'!$A$5:$P$259,9,FALSE)*100</f>
        <v>0.8928571428571428</v>
      </c>
      <c r="K22" s="14">
        <f>VLOOKUP(LARGE('[1]Top25AIDU'!$A$5:$A$259,20),'[1]Top25AIDU'!$A$5:$P$259,6,FALSE)/VLOOKUP(LARGE('[1]Top25AIDU'!$A$5:$A$259,20),'[1]Top25AIDU'!$A$5:$P$259,9,FALSE)*100</f>
        <v>0</v>
      </c>
      <c r="L22" s="14">
        <f>VLOOKUP(LARGE('[1]Top25AIDU'!$A$5:$A$259,20),'[1]Top25AIDU'!$A$5:$P$259,7,FALSE)/VLOOKUP(LARGE('[1]Top25AIDU'!$A$5:$A$259,20),'[1]Top25AIDU'!$A$5:$P$259,9,FALSE)*100</f>
        <v>0</v>
      </c>
    </row>
    <row r="23" spans="1:12" ht="11.25">
      <c r="A23" s="8" t="str">
        <f>VLOOKUP(LARGE('[1]Top25AIDU'!$A$5:$C$259,21),'[1]Top25AIDU'!$A$5:$C$259,3,FALSE)</f>
        <v>POISONING OF MEDICINAL AGENTS                                                     </v>
      </c>
      <c r="B23" s="9">
        <f>VLOOKUP(LARGE('[1]Top25AIDU'!$A$5:$C$259,21),'[1]Top25AIDU'!$A$5:$C$259,1,FALSE)</f>
        <v>110</v>
      </c>
      <c r="C23" s="10">
        <f>VLOOKUP(LARGE('[1]Top25AIDU'!$A$5:$C$259,21),'[1]Top25AIDU'!$A$5:$C$259,1,FALSE)/'[1]Top25AIDU'!$I$260*100</f>
        <v>1.9342359767891684</v>
      </c>
      <c r="D23" s="10">
        <f>(VLOOKUP(LARGE('[1]Top25AIDU'!$A$5:$C$259,21),'[1]Top25AIDU'!$A$5:$C$259,1,FALSE)/'[1]Top25AIDU'!$I$261*100)</f>
        <v>1.0784313725490196</v>
      </c>
      <c r="E23" s="10">
        <f>VLOOKUP(LARGE('[1]Top25AIDU'!$A$5:$A$259,21),'[1]Top25AIDU'!$A$5:$P$259,14,FALSE)</f>
        <v>1.3</v>
      </c>
      <c r="F23" s="11">
        <f>VLOOKUP(LARGE('[1]Top25AIDU'!$A$5:$A$259,21),'[1]Top25AIDU'!$A$5:$P$259,15,FALSE)</f>
        <v>9926.56</v>
      </c>
      <c r="G23" s="12">
        <f>VLOOKUP(LARGE('[1]Top25AIDU'!$A$5:$A$259,21),'[1]Top25AIDU'!$A$5:$P$259,10,FALSE)/VLOOKUP(LARGE('[1]Top25AIDU'!$A$5:$A$259,21),'[1]Top25AIDU'!$A$5:$P$259,13,FALSE)*100</f>
        <v>50.90909090909091</v>
      </c>
      <c r="H23" s="13">
        <f>VLOOKUP(LARGE('[1]Top25AIDU'!$A$5:$A$259,21),'[1]Top25AIDU'!$A$5:$P$259,11,FALSE)/VLOOKUP(LARGE('[1]Top25AIDU'!$A$5:$A$259,21),'[1]Top25AIDU'!$A$5:$P$259,13,FALSE)*100</f>
        <v>49.09090909090909</v>
      </c>
      <c r="I23" s="12">
        <f>VLOOKUP(LARGE('[1]Top25AIDU'!$A$5:$A$259,21),'[1]Top25AIDU'!$A$5:$P$259,4,FALSE)/VLOOKUP(LARGE('[1]Top25AIDU'!$A$5:$A$259,21),'[1]Top25AIDU'!$A$5:$P$259,9,FALSE)*100</f>
        <v>98.18181818181819</v>
      </c>
      <c r="J23" s="14">
        <f>VLOOKUP(LARGE('[1]Top25AIDU'!$A$5:$A$259,21),'[1]Top25AIDU'!$A$5:$P$259,5,FALSE)/VLOOKUP(LARGE('[1]Top25AIDU'!$A$5:$A$259,21),'[1]Top25AIDU'!$A$5:$P$259,9,FALSE)*100</f>
        <v>1.8181818181818181</v>
      </c>
      <c r="K23" s="14">
        <f>VLOOKUP(LARGE('[1]Top25AIDU'!$A$5:$A$259,21),'[1]Top25AIDU'!$A$5:$P$259,6,FALSE)/VLOOKUP(LARGE('[1]Top25AIDU'!$A$5:$A$259,21),'[1]Top25AIDU'!$A$5:$P$259,9,FALSE)*100</f>
        <v>0</v>
      </c>
      <c r="L23" s="14">
        <f>VLOOKUP(LARGE('[1]Top25AIDU'!$A$5:$A$259,21),'[1]Top25AIDU'!$A$5:$P$259,7,FALSE)/VLOOKUP(LARGE('[1]Top25AIDU'!$A$5:$A$259,21),'[1]Top25AIDU'!$A$5:$P$259,9,FALSE)*100</f>
        <v>0</v>
      </c>
    </row>
    <row r="24" spans="1:12" ht="11.25">
      <c r="A24" s="8" t="str">
        <f>VLOOKUP(LARGE('[1]Top25AIDU'!$A$5:$C$259,22),'[1]Top25AIDU'!$A$5:$C$259,3,FALSE)</f>
        <v>MIGRAINE &amp; OTHER HEADACHES                                                        </v>
      </c>
      <c r="B24" s="9">
        <f>VLOOKUP(LARGE('[1]Top25AIDU'!$A$5:$C$259,22),'[1]Top25AIDU'!$A$5:$C$259,1,FALSE)</f>
        <v>106</v>
      </c>
      <c r="C24" s="10">
        <f>VLOOKUP(LARGE('[1]Top25AIDU'!$A$5:$C$259,22),'[1]Top25AIDU'!$A$5:$C$259,1,FALSE)/'[1]Top25AIDU'!$I$260*100</f>
        <v>1.863900123087744</v>
      </c>
      <c r="D24" s="10">
        <f>(VLOOKUP(LARGE('[1]Top25AIDU'!$A$5:$C$259,22),'[1]Top25AIDU'!$A$5:$C$259,1,FALSE)/'[1]Top25AIDU'!$I$261*100)</f>
        <v>1.0392156862745097</v>
      </c>
      <c r="E24" s="10">
        <f>VLOOKUP(LARGE('[1]Top25AIDU'!$A$5:$A$259,22),'[1]Top25AIDU'!$A$5:$P$259,14,FALSE)</f>
        <v>2.2</v>
      </c>
      <c r="F24" s="11">
        <f>VLOOKUP(LARGE('[1]Top25AIDU'!$A$5:$A$259,22),'[1]Top25AIDU'!$A$5:$P$259,15,FALSE)</f>
        <v>11597.19</v>
      </c>
      <c r="G24" s="12">
        <f>VLOOKUP(LARGE('[1]Top25AIDU'!$A$5:$A$259,22),'[1]Top25AIDU'!$A$5:$P$259,10,FALSE)/VLOOKUP(LARGE('[1]Top25AIDU'!$A$5:$A$259,22),'[1]Top25AIDU'!$A$5:$P$259,13,FALSE)*100</f>
        <v>30.18867924528302</v>
      </c>
      <c r="H24" s="13">
        <f>VLOOKUP(LARGE('[1]Top25AIDU'!$A$5:$A$259,22),'[1]Top25AIDU'!$A$5:$P$259,11,FALSE)/VLOOKUP(LARGE('[1]Top25AIDU'!$A$5:$A$259,22),'[1]Top25AIDU'!$A$5:$P$259,13,FALSE)*100</f>
        <v>69.81132075471697</v>
      </c>
      <c r="I24" s="12">
        <f>VLOOKUP(LARGE('[1]Top25AIDU'!$A$5:$A$259,22),'[1]Top25AIDU'!$A$5:$P$259,4,FALSE)/VLOOKUP(LARGE('[1]Top25AIDU'!$A$5:$A$259,22),'[1]Top25AIDU'!$A$5:$P$259,9,FALSE)*100</f>
        <v>95.28301886792453</v>
      </c>
      <c r="J24" s="14">
        <f>VLOOKUP(LARGE('[1]Top25AIDU'!$A$5:$A$259,22),'[1]Top25AIDU'!$A$5:$P$259,5,FALSE)/VLOOKUP(LARGE('[1]Top25AIDU'!$A$5:$A$259,22),'[1]Top25AIDU'!$A$5:$P$259,9,FALSE)*100</f>
        <v>4.716981132075472</v>
      </c>
      <c r="K24" s="14">
        <f>VLOOKUP(LARGE('[1]Top25AIDU'!$A$5:$A$259,22),'[1]Top25AIDU'!$A$5:$P$259,6,FALSE)/VLOOKUP(LARGE('[1]Top25AIDU'!$A$5:$A$259,22),'[1]Top25AIDU'!$A$5:$P$259,9,FALSE)*100</f>
        <v>0</v>
      </c>
      <c r="L24" s="14">
        <f>VLOOKUP(LARGE('[1]Top25AIDU'!$A$5:$A$259,22),'[1]Top25AIDU'!$A$5:$P$259,7,FALSE)/VLOOKUP(LARGE('[1]Top25AIDU'!$A$5:$A$259,22),'[1]Top25AIDU'!$A$5:$P$259,9,FALSE)*100</f>
        <v>0</v>
      </c>
    </row>
    <row r="25" spans="1:12" ht="11.25">
      <c r="A25" s="8" t="str">
        <f>VLOOKUP(LARGE('[1]Top25AIDU'!$A$5:$C$259,23),'[1]Top25AIDU'!$A$5:$C$259,3,FALSE)</f>
        <v>OTHER ANEMIA &amp; DISORDERS OF BLOOD &amp; BLOOD-FORMING ORGANS                          </v>
      </c>
      <c r="B25" s="9">
        <f>VLOOKUP(LARGE('[1]Top25AIDU'!$A$5:$C$259,23),'[1]Top25AIDU'!$A$5:$C$259,1,FALSE)</f>
        <v>99</v>
      </c>
      <c r="C25" s="10">
        <f>VLOOKUP(LARGE('[1]Top25AIDU'!$A$5:$C$259,23),'[1]Top25AIDU'!$A$5:$C$259,1,FALSE)/'[1]Top25AIDU'!$I$260*100</f>
        <v>1.7408123791102514</v>
      </c>
      <c r="D25" s="10">
        <f>(VLOOKUP(LARGE('[1]Top25AIDU'!$A$5:$C$259,23),'[1]Top25AIDU'!$A$5:$C$259,1,FALSE)/'[1]Top25AIDU'!$I$261*100)</f>
        <v>0.9705882352941178</v>
      </c>
      <c r="E25" s="10">
        <f>VLOOKUP(LARGE('[1]Top25AIDU'!$A$5:$A$259,23),'[1]Top25AIDU'!$A$5:$P$259,14,FALSE)</f>
        <v>2.5</v>
      </c>
      <c r="F25" s="11">
        <f>VLOOKUP(LARGE('[1]Top25AIDU'!$A$5:$A$259,23),'[1]Top25AIDU'!$A$5:$P$259,15,FALSE)</f>
        <v>14420.99</v>
      </c>
      <c r="G25" s="12">
        <f>VLOOKUP(LARGE('[1]Top25AIDU'!$A$5:$A$259,23),'[1]Top25AIDU'!$A$5:$P$259,10,FALSE)/VLOOKUP(LARGE('[1]Top25AIDU'!$A$5:$A$259,23),'[1]Top25AIDU'!$A$5:$P$259,13,FALSE)*100</f>
        <v>53.535353535353536</v>
      </c>
      <c r="H25" s="13">
        <f>VLOOKUP(LARGE('[1]Top25AIDU'!$A$5:$A$259,23),'[1]Top25AIDU'!$A$5:$P$259,11,FALSE)/VLOOKUP(LARGE('[1]Top25AIDU'!$A$5:$A$259,23),'[1]Top25AIDU'!$A$5:$P$259,13,FALSE)*100</f>
        <v>46.464646464646464</v>
      </c>
      <c r="I25" s="12">
        <f>VLOOKUP(LARGE('[1]Top25AIDU'!$A$5:$A$259,23),'[1]Top25AIDU'!$A$5:$P$259,4,FALSE)/VLOOKUP(LARGE('[1]Top25AIDU'!$A$5:$A$259,23),'[1]Top25AIDU'!$A$5:$P$259,9,FALSE)*100</f>
        <v>100</v>
      </c>
      <c r="J25" s="14">
        <f>VLOOKUP(LARGE('[1]Top25AIDU'!$A$5:$A$259,23),'[1]Top25AIDU'!$A$5:$P$259,5,FALSE)/VLOOKUP(LARGE('[1]Top25AIDU'!$A$5:$A$259,23),'[1]Top25AIDU'!$A$5:$P$259,9,FALSE)*100</f>
        <v>0</v>
      </c>
      <c r="K25" s="14">
        <f>VLOOKUP(LARGE('[1]Top25AIDU'!$A$5:$A$259,23),'[1]Top25AIDU'!$A$5:$P$259,6,FALSE)/VLOOKUP(LARGE('[1]Top25AIDU'!$A$5:$A$259,23),'[1]Top25AIDU'!$A$5:$P$259,9,FALSE)*100</f>
        <v>0</v>
      </c>
      <c r="L25" s="14">
        <f>VLOOKUP(LARGE('[1]Top25AIDU'!$A$5:$A$259,23),'[1]Top25AIDU'!$A$5:$P$259,7,FALSE)/VLOOKUP(LARGE('[1]Top25AIDU'!$A$5:$A$259,23),'[1]Top25AIDU'!$A$5:$P$259,9,FALSE)*100</f>
        <v>0</v>
      </c>
    </row>
    <row r="26" spans="1:12" ht="11.25">
      <c r="A26" s="8" t="str">
        <f>VLOOKUP(LARGE('[1]Top25AIDU'!$A$5:$C$259,24),'[1]Top25AIDU'!$A$5:$C$259,3,FALSE)</f>
        <v>FEVER                                                                             </v>
      </c>
      <c r="B26" s="9">
        <f>VLOOKUP(LARGE('[1]Top25AIDU'!$A$5:$C$259,24),'[1]Top25AIDU'!$A$5:$C$259,1,FALSE)</f>
        <v>98.001</v>
      </c>
      <c r="C26" s="10">
        <f>VLOOKUP(LARGE('[1]Top25AIDU'!$A$5:$C$259,24),'[1]Top25AIDU'!$A$5:$C$259,1,FALSE)/'[1]Top25AIDU'!$I$260*100</f>
        <v>1.7232459996483207</v>
      </c>
      <c r="D26" s="10">
        <f>(VLOOKUP(LARGE('[1]Top25AIDU'!$A$5:$C$259,24),'[1]Top25AIDU'!$A$5:$C$259,1,FALSE)/'[1]Top25AIDU'!$I$261*100)</f>
        <v>0.9607941176470588</v>
      </c>
      <c r="E26" s="10">
        <f>VLOOKUP(LARGE('[1]Top25AIDU'!$A$5:$A$259,24),'[1]Top25AIDU'!$A$5:$P$259,14,FALSE)</f>
        <v>2.6</v>
      </c>
      <c r="F26" s="11">
        <f>VLOOKUP(LARGE('[1]Top25AIDU'!$A$5:$A$259,24),'[1]Top25AIDU'!$A$5:$P$259,15,FALSE)</f>
        <v>13947.22</v>
      </c>
      <c r="G26" s="12">
        <f>VLOOKUP(LARGE('[1]Top25AIDU'!$A$5:$A$259,24),'[1]Top25AIDU'!$A$5:$P$259,10,FALSE)/VLOOKUP(LARGE('[1]Top25AIDU'!$A$5:$A$259,24),'[1]Top25AIDU'!$A$5:$P$259,13,FALSE)*100</f>
        <v>50</v>
      </c>
      <c r="H26" s="13">
        <f>VLOOKUP(LARGE('[1]Top25AIDU'!$A$5:$A$259,24),'[1]Top25AIDU'!$A$5:$P$259,11,FALSE)/VLOOKUP(LARGE('[1]Top25AIDU'!$A$5:$A$259,24),'[1]Top25AIDU'!$A$5:$P$259,13,FALSE)*100</f>
        <v>50</v>
      </c>
      <c r="I26" s="12">
        <f>VLOOKUP(LARGE('[1]Top25AIDU'!$A$5:$A$259,24),'[1]Top25AIDU'!$A$5:$P$259,4,FALSE)/VLOOKUP(LARGE('[1]Top25AIDU'!$A$5:$A$259,24),'[1]Top25AIDU'!$A$5:$P$259,9,FALSE)*100</f>
        <v>97.95918367346938</v>
      </c>
      <c r="J26" s="14">
        <f>VLOOKUP(LARGE('[1]Top25AIDU'!$A$5:$A$259,24),'[1]Top25AIDU'!$A$5:$P$259,5,FALSE)/VLOOKUP(LARGE('[1]Top25AIDU'!$A$5:$A$259,24),'[1]Top25AIDU'!$A$5:$P$259,9,FALSE)*100</f>
        <v>2.0408163265306123</v>
      </c>
      <c r="K26" s="14">
        <f>VLOOKUP(LARGE('[1]Top25AIDU'!$A$5:$A$259,24),'[1]Top25AIDU'!$A$5:$P$259,6,FALSE)/VLOOKUP(LARGE('[1]Top25AIDU'!$A$5:$A$259,24),'[1]Top25AIDU'!$A$5:$P$259,9,FALSE)*100</f>
        <v>0</v>
      </c>
      <c r="L26" s="14">
        <f>VLOOKUP(LARGE('[1]Top25AIDU'!$A$5:$A$259,24),'[1]Top25AIDU'!$A$5:$P$259,7,FALSE)/VLOOKUP(LARGE('[1]Top25AIDU'!$A$5:$A$259,24),'[1]Top25AIDU'!$A$5:$P$259,9,FALSE)*100</f>
        <v>0</v>
      </c>
    </row>
    <row r="27" spans="1:12" ht="12" thickBot="1">
      <c r="A27" s="15" t="str">
        <f>VLOOKUP(LARGE('[1]Top25AIDU'!$A$5:$C$259,25),'[1]Top25AIDU'!$A$5:$C$259,3,FALSE)</f>
        <v>ABDOMINAL PAIN                                                                    </v>
      </c>
      <c r="B27" s="16">
        <f>VLOOKUP(LARGE('[1]Top25AIDU'!$A$5:$C$259,25),'[1]Top25AIDU'!$A$5:$C$259,1,FALSE)</f>
        <v>98</v>
      </c>
      <c r="C27" s="17">
        <f>VLOOKUP(LARGE('[1]Top25AIDU'!$A$5:$C$259,25),'[1]Top25AIDU'!$A$5:$C$259,1,FALSE)/'[1]Top25AIDU'!$I$260*100</f>
        <v>1.7232284156848954</v>
      </c>
      <c r="D27" s="17">
        <f>(VLOOKUP(LARGE('[1]Top25AIDU'!$A$5:$C$259,25),'[1]Top25AIDU'!$A$5:$C$259,1,FALSE)/'[1]Top25AIDU'!$I$261*100)</f>
        <v>0.9607843137254901</v>
      </c>
      <c r="E27" s="17">
        <f>VLOOKUP(LARGE('[1]Top25AIDU'!$A$5:$A$259,25),'[1]Top25AIDU'!$A$5:$P$259,14,FALSE)</f>
        <v>1.8</v>
      </c>
      <c r="F27" s="18">
        <f>VLOOKUP(LARGE('[1]Top25AIDU'!$A$5:$A$259,25),'[1]Top25AIDU'!$A$5:$P$259,15,FALSE)</f>
        <v>11530.43</v>
      </c>
      <c r="G27" s="19">
        <f>VLOOKUP(LARGE('[1]Top25AIDU'!$A$5:$A$259,25),'[1]Top25AIDU'!$A$5:$P$259,10,FALSE)/VLOOKUP(LARGE('[1]Top25AIDU'!$A$5:$A$259,25),'[1]Top25AIDU'!$A$5:$P$259,13,FALSE)*100</f>
        <v>42.857142857142854</v>
      </c>
      <c r="H27" s="20">
        <f>VLOOKUP(LARGE('[1]Top25AIDU'!$A$5:$A$259,25),'[1]Top25AIDU'!$A$5:$P$259,11,FALSE)/VLOOKUP(LARGE('[1]Top25AIDU'!$A$5:$A$259,25),'[1]Top25AIDU'!$A$5:$P$259,13,FALSE)*100</f>
        <v>57.14285714285714</v>
      </c>
      <c r="I27" s="19">
        <f>VLOOKUP(LARGE('[1]Top25AIDU'!$A$5:$A$259,25),'[1]Top25AIDU'!$A$5:$P$259,4,FALSE)/VLOOKUP(LARGE('[1]Top25AIDU'!$A$5:$A$259,25),'[1]Top25AIDU'!$A$5:$P$259,9,FALSE)*100</f>
        <v>100</v>
      </c>
      <c r="J27" s="21">
        <f>VLOOKUP(LARGE('[1]Top25AIDU'!$A$5:$A$259,25),'[1]Top25AIDU'!$A$5:$P$259,5,FALSE)/VLOOKUP(LARGE('[1]Top25AIDU'!$A$5:$A$259,25),'[1]Top25AIDU'!$A$5:$P$259,9,FALSE)*100</f>
        <v>0</v>
      </c>
      <c r="K27" s="21">
        <f>VLOOKUP(LARGE('[1]Top25AIDU'!$A$5:$A$259,25),'[1]Top25AIDU'!$A$5:$P$259,6,FALSE)/VLOOKUP(LARGE('[1]Top25AIDU'!$A$5:$A$259,25),'[1]Top25AIDU'!$A$5:$P$259,9,FALSE)*100</f>
        <v>0</v>
      </c>
      <c r="L27" s="21">
        <f>VLOOKUP(LARGE('[1]Top25AIDU'!$A$5:$A$259,25),'[1]Top25AIDU'!$A$5:$P$259,7,FALSE)/VLOOKUP(LARGE('[1]Top25AIDU'!$A$5:$A$259,25),'[1]Top25AIDU'!$A$5:$P$259,9,FALSE)*100</f>
        <v>0</v>
      </c>
    </row>
    <row r="28" spans="3:10" ht="11.25">
      <c r="C28" s="22"/>
      <c r="D28" s="22"/>
      <c r="E28" s="22"/>
      <c r="F28" s="23"/>
      <c r="G28" s="22"/>
      <c r="H28" s="22"/>
      <c r="I28" s="22"/>
      <c r="J28" s="22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77.33203125" style="0" customWidth="1"/>
    <col min="2" max="2" width="6.16015625" style="0" customWidth="1"/>
    <col min="3" max="3" width="11" style="0" bestFit="1" customWidth="1"/>
    <col min="4" max="4" width="7.5" style="0" bestFit="1" customWidth="1"/>
    <col min="5" max="5" width="6" style="0" bestFit="1" customWidth="1"/>
    <col min="6" max="6" width="11.83203125" style="0" bestFit="1" customWidth="1"/>
    <col min="7" max="8" width="9" style="0" customWidth="1"/>
    <col min="9" max="12" width="6.33203125" style="0" customWidth="1"/>
  </cols>
  <sheetData>
    <row r="1" ht="13.5" thickBot="1">
      <c r="A1" s="1" t="s">
        <v>13</v>
      </c>
    </row>
    <row r="2" spans="1:13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4" t="s">
        <v>8</v>
      </c>
      <c r="J2" s="6" t="s">
        <v>9</v>
      </c>
      <c r="K2" s="6" t="s">
        <v>10</v>
      </c>
      <c r="L2" s="6" t="s">
        <v>11</v>
      </c>
      <c r="M2" s="7"/>
    </row>
    <row r="3" spans="1:12" ht="11.25">
      <c r="A3" s="8" t="str">
        <f>VLOOKUP(LARGE('[1]Top25CCHS'!$A$5:$C$308,1),'[1]Top25CCHS'!$A$5:$C$308,3,FALSE)</f>
        <v>NEONATE BIRTHWT &gt;2499G, NORMAL NEWBORN OR NEONATE W OTHER PROBLEM                 </v>
      </c>
      <c r="B3" s="9">
        <f>VLOOKUP(LARGE('[1]Top25CCHS'!$A$5:$C$308,1),'[1]Top25CCHS'!$A$5:$C$308,1,FALSE)</f>
        <v>5648</v>
      </c>
      <c r="C3" s="10">
        <f>VLOOKUP(LARGE('[1]Top25CCHS'!$A$5:$C$308,1),'[1]Top25CCHS'!$A$5:$C$308,1,FALSE)/'[1]Top25CCHS'!$I$309*100</f>
        <v>19.67121760936194</v>
      </c>
      <c r="D3" s="10">
        <f>(VLOOKUP(LARGE('[1]Top25CCHS'!$A$5:$C$308,1),'[1]Top25CCHS'!$A$5:$C$308,1,FALSE)/'[1]Top25CCHS'!$I$310*100)</f>
        <v>9.649092834933542</v>
      </c>
      <c r="E3" s="10">
        <f>VLOOKUP(LARGE('[1]Top25CCHS'!$A$5:$A$308,1),'[1]Top25CCHS'!$A$5:$P$308,14,FALSE)</f>
        <v>2.4</v>
      </c>
      <c r="F3" s="11">
        <f>VLOOKUP(LARGE('[1]Top25CCHS'!$A$5:$A$308,1),'[1]Top25CCHS'!$A$5:$P$308,15,FALSE)</f>
        <v>3377.24</v>
      </c>
      <c r="G3" s="12">
        <f>VLOOKUP(LARGE('[1]Top25CCHS'!$A$5:$A$308,1),'[1]Top25CCHS'!$A$5:$P$308,10,FALSE)/VLOOKUP(LARGE('[1]Top25CCHS'!$A$5:$A$308,1),'[1]Top25CCHS'!$A$5:$P$308,13,FALSE)*100</f>
        <v>50.832152974504254</v>
      </c>
      <c r="H3" s="13">
        <f>VLOOKUP(LARGE('[1]Top25CCHS'!$A$5:$A$308,1),'[1]Top25CCHS'!$A$5:$P$308,11,FALSE)/VLOOKUP(LARGE('[1]Top25CCHS'!$A$5:$A$308,1),'[1]Top25CCHS'!$A$5:$P$308,13,FALSE)*100</f>
        <v>49.16784702549575</v>
      </c>
      <c r="I3" s="12">
        <f>VLOOKUP(LARGE('[1]Top25CCHS'!$A$5:$A$308,1),'[1]Top25CCHS'!$A$5:$P$308,4,FALSE)/VLOOKUP(LARGE('[1]Top25CCHS'!$A$5:$A$308,1),'[1]Top25CCHS'!$A$5:$P$308,9,FALSE)*100</f>
        <v>100</v>
      </c>
      <c r="J3" s="14">
        <f>VLOOKUP(LARGE('[1]Top25CCHS'!$A$5:$A$308,1),'[1]Top25CCHS'!$A$5:$P$308,5,FALSE)/VLOOKUP(LARGE('[1]Top25CCHS'!$A$5:$A$308,1),'[1]Top25CCHS'!$A$5:$P$308,9,FALSE)*100</f>
        <v>0</v>
      </c>
      <c r="K3" s="14">
        <f>VLOOKUP(LARGE('[1]Top25CCHS'!$A$5:$A$308,1),'[1]Top25CCHS'!$A$5:$P$308,6,FALSE)/VLOOKUP(LARGE('[1]Top25CCHS'!$A$5:$A$308,1),'[1]Top25CCHS'!$A$5:$P$308,9,FALSE)*100</f>
        <v>0</v>
      </c>
      <c r="L3" s="14">
        <f>VLOOKUP(LARGE('[1]Top25CCHS'!$A$5:$A$308,1),'[1]Top25CCHS'!$A$5:$P$308,7,FALSE)/VLOOKUP(LARGE('[1]Top25CCHS'!$A$5:$A$308,1),'[1]Top25CCHS'!$A$5:$P$308,9,FALSE)*100</f>
        <v>0</v>
      </c>
    </row>
    <row r="4" spans="1:12" ht="11.25">
      <c r="A4" s="8" t="str">
        <f>VLOOKUP(LARGE('[1]Top25CCHS'!$A$5:$C$308,2),'[1]Top25CCHS'!$A$5:$C$308,3,FALSE)</f>
        <v>VAGINAL DELIVERY                                                                  </v>
      </c>
      <c r="B4" s="9">
        <f>VLOOKUP(LARGE('[1]Top25CCHS'!$A$5:$C$308,2),'[1]Top25CCHS'!$A$5:$C$308,1,FALSE)</f>
        <v>4057</v>
      </c>
      <c r="C4" s="10">
        <f>VLOOKUP(LARGE('[1]Top25CCHS'!$A$5:$C$308,2),'[1]Top25CCHS'!$A$5:$C$308,1,FALSE)/'[1]Top25CCHS'!$I$309*100</f>
        <v>14.129980495959876</v>
      </c>
      <c r="D4" s="10">
        <f>(VLOOKUP(LARGE('[1]Top25CCHS'!$A$5:$C$308,2),'[1]Top25CCHS'!$A$5:$C$308,1,FALSE)/'[1]Top25CCHS'!$I$310*100)</f>
        <v>6.931014453138347</v>
      </c>
      <c r="E4" s="10">
        <f>VLOOKUP(LARGE('[1]Top25CCHS'!$A$5:$A$308,2),'[1]Top25CCHS'!$A$5:$P$308,14,FALSE)</f>
        <v>2.5</v>
      </c>
      <c r="F4" s="11">
        <f>VLOOKUP(LARGE('[1]Top25CCHS'!$A$5:$A$308,2),'[1]Top25CCHS'!$A$5:$P$308,15,FALSE)</f>
        <v>6161.92</v>
      </c>
      <c r="G4" s="12">
        <f>VLOOKUP(LARGE('[1]Top25CCHS'!$A$5:$A$308,2),'[1]Top25CCHS'!$A$5:$P$308,10,FALSE)/VLOOKUP(LARGE('[1]Top25CCHS'!$A$5:$A$308,2),'[1]Top25CCHS'!$A$5:$P$308,13,FALSE)*100</f>
        <v>0</v>
      </c>
      <c r="H4" s="13">
        <f>VLOOKUP(LARGE('[1]Top25CCHS'!$A$5:$A$308,2),'[1]Top25CCHS'!$A$5:$P$308,11,FALSE)/VLOOKUP(LARGE('[1]Top25CCHS'!$A$5:$A$308,2),'[1]Top25CCHS'!$A$5:$P$308,13,FALSE)*100</f>
        <v>100</v>
      </c>
      <c r="I4" s="12">
        <f>VLOOKUP(LARGE('[1]Top25CCHS'!$A$5:$A$308,2),'[1]Top25CCHS'!$A$5:$P$308,4,FALSE)/VLOOKUP(LARGE('[1]Top25CCHS'!$A$5:$A$308,2),'[1]Top25CCHS'!$A$5:$P$308,9,FALSE)*100</f>
        <v>2.6620655656889327</v>
      </c>
      <c r="J4" s="14">
        <f>VLOOKUP(LARGE('[1]Top25CCHS'!$A$5:$A$308,2),'[1]Top25CCHS'!$A$5:$P$308,5,FALSE)/VLOOKUP(LARGE('[1]Top25CCHS'!$A$5:$A$308,2),'[1]Top25CCHS'!$A$5:$P$308,9,FALSE)*100</f>
        <v>97.1900419028839</v>
      </c>
      <c r="K4" s="14">
        <f>VLOOKUP(LARGE('[1]Top25CCHS'!$A$5:$A$308,2),'[1]Top25CCHS'!$A$5:$P$308,6,FALSE)/VLOOKUP(LARGE('[1]Top25CCHS'!$A$5:$A$308,2),'[1]Top25CCHS'!$A$5:$P$308,9,FALSE)*100</f>
        <v>0.1478925314271629</v>
      </c>
      <c r="L4" s="14">
        <f>VLOOKUP(LARGE('[1]Top25CCHS'!$A$5:$A$308,2),'[1]Top25CCHS'!$A$5:$P$308,7,FALSE)/VLOOKUP(LARGE('[1]Top25CCHS'!$A$5:$A$308,2),'[1]Top25CCHS'!$A$5:$P$308,9,FALSE)*100</f>
        <v>0</v>
      </c>
    </row>
    <row r="5" spans="1:12" ht="11.25">
      <c r="A5" s="8" t="str">
        <f>VLOOKUP(LARGE('[1]Top25CCHS'!$A$5:$C$308,3),'[1]Top25CCHS'!$A$5:$C$308,3,FALSE)</f>
        <v>CESAREAN DELIVERY                                                                 </v>
      </c>
      <c r="B5" s="9">
        <f>VLOOKUP(LARGE('[1]Top25CCHS'!$A$5:$C$308,3),'[1]Top25CCHS'!$A$5:$C$308,1,FALSE)</f>
        <v>2277</v>
      </c>
      <c r="C5" s="10">
        <f>VLOOKUP(LARGE('[1]Top25CCHS'!$A$5:$C$308,3),'[1]Top25CCHS'!$A$5:$C$308,1,FALSE)/'[1]Top25CCHS'!$I$309*100</f>
        <v>7.930482028420173</v>
      </c>
      <c r="D5" s="10">
        <f>(VLOOKUP(LARGE('[1]Top25CCHS'!$A$5:$C$308,3),'[1]Top25CCHS'!$A$5:$C$308,1,FALSE)/'[1]Top25CCHS'!$I$310*100)</f>
        <v>3.8900468104007926</v>
      </c>
      <c r="E5" s="10">
        <f>VLOOKUP(LARGE('[1]Top25CCHS'!$A$5:$A$308,3),'[1]Top25CCHS'!$A$5:$P$308,14,FALSE)</f>
        <v>4</v>
      </c>
      <c r="F5" s="11">
        <f>VLOOKUP(LARGE('[1]Top25CCHS'!$A$5:$A$308,3),'[1]Top25CCHS'!$A$5:$P$308,15,FALSE)</f>
        <v>12888.75</v>
      </c>
      <c r="G5" s="12">
        <f>VLOOKUP(LARGE('[1]Top25CCHS'!$A$5:$A$308,3),'[1]Top25CCHS'!$A$5:$P$308,10,FALSE)/VLOOKUP(LARGE('[1]Top25CCHS'!$A$5:$A$308,3),'[1]Top25CCHS'!$A$5:$P$308,13,FALSE)*100</f>
        <v>0</v>
      </c>
      <c r="H5" s="13">
        <f>VLOOKUP(LARGE('[1]Top25CCHS'!$A$5:$A$308,3),'[1]Top25CCHS'!$A$5:$P$308,11,FALSE)/VLOOKUP(LARGE('[1]Top25CCHS'!$A$5:$A$308,3),'[1]Top25CCHS'!$A$5:$P$308,13,FALSE)*100</f>
        <v>100</v>
      </c>
      <c r="I5" s="12">
        <f>VLOOKUP(LARGE('[1]Top25CCHS'!$A$5:$A$308,3),'[1]Top25CCHS'!$A$5:$P$308,4,FALSE)/VLOOKUP(LARGE('[1]Top25CCHS'!$A$5:$A$308,3),'[1]Top25CCHS'!$A$5:$P$308,9,FALSE)*100</f>
        <v>1.5810276679841897</v>
      </c>
      <c r="J5" s="14">
        <f>VLOOKUP(LARGE('[1]Top25CCHS'!$A$5:$A$308,3),'[1]Top25CCHS'!$A$5:$P$308,5,FALSE)/VLOOKUP(LARGE('[1]Top25CCHS'!$A$5:$A$308,3),'[1]Top25CCHS'!$A$5:$P$308,9,FALSE)*100</f>
        <v>98.1993851559069</v>
      </c>
      <c r="K5" s="14">
        <f>VLOOKUP(LARGE('[1]Top25CCHS'!$A$5:$A$308,3),'[1]Top25CCHS'!$A$5:$P$308,6,FALSE)/VLOOKUP(LARGE('[1]Top25CCHS'!$A$5:$A$308,3),'[1]Top25CCHS'!$A$5:$P$308,9,FALSE)*100</f>
        <v>0.21958717610891526</v>
      </c>
      <c r="L5" s="14">
        <f>VLOOKUP(LARGE('[1]Top25CCHS'!$A$5:$A$308,3),'[1]Top25CCHS'!$A$5:$P$308,7,FALSE)/VLOOKUP(LARGE('[1]Top25CCHS'!$A$5:$A$308,3),'[1]Top25CCHS'!$A$5:$P$308,9,FALSE)*100</f>
        <v>0</v>
      </c>
    </row>
    <row r="6" spans="1:12" ht="11.25">
      <c r="A6" s="8" t="str">
        <f>VLOOKUP(LARGE('[1]Top25CCHS'!$A$5:$C$308,4),'[1]Top25CCHS'!$A$5:$C$308,3,FALSE)</f>
        <v>KNEE JOINT REPLACEMENT                                                            </v>
      </c>
      <c r="B6" s="9">
        <f>VLOOKUP(LARGE('[1]Top25CCHS'!$A$5:$C$308,4),'[1]Top25CCHS'!$A$5:$C$308,1,FALSE)</f>
        <v>1390</v>
      </c>
      <c r="C6" s="10">
        <f>VLOOKUP(LARGE('[1]Top25CCHS'!$A$5:$C$308,4),'[1]Top25CCHS'!$A$5:$C$308,1,FALSE)/'[1]Top25CCHS'!$I$309*100</f>
        <v>4.84118138757314</v>
      </c>
      <c r="D6" s="10">
        <f>(VLOOKUP(LARGE('[1]Top25CCHS'!$A$5:$C$308,4),'[1]Top25CCHS'!$A$5:$C$308,1,FALSE)/'[1]Top25CCHS'!$I$310*100)</f>
        <v>2.37468821539618</v>
      </c>
      <c r="E6" s="10">
        <f>VLOOKUP(LARGE('[1]Top25CCHS'!$A$5:$A$308,4),'[1]Top25CCHS'!$A$5:$P$308,14,FALSE)</f>
        <v>3</v>
      </c>
      <c r="F6" s="11">
        <f>VLOOKUP(LARGE('[1]Top25CCHS'!$A$5:$A$308,4),'[1]Top25CCHS'!$A$5:$P$308,15,FALSE)</f>
        <v>30439.48</v>
      </c>
      <c r="G6" s="12">
        <f>VLOOKUP(LARGE('[1]Top25CCHS'!$A$5:$A$308,4),'[1]Top25CCHS'!$A$5:$P$308,10,FALSE)/VLOOKUP(LARGE('[1]Top25CCHS'!$A$5:$A$308,4),'[1]Top25CCHS'!$A$5:$P$308,13,FALSE)*100</f>
        <v>36.906474820143885</v>
      </c>
      <c r="H6" s="13">
        <f>VLOOKUP(LARGE('[1]Top25CCHS'!$A$5:$A$308,4),'[1]Top25CCHS'!$A$5:$P$308,11,FALSE)/VLOOKUP(LARGE('[1]Top25CCHS'!$A$5:$A$308,4),'[1]Top25CCHS'!$A$5:$P$308,13,FALSE)*100</f>
        <v>63.093525179856115</v>
      </c>
      <c r="I6" s="12">
        <f>VLOOKUP(LARGE('[1]Top25CCHS'!$A$5:$A$308,4),'[1]Top25CCHS'!$A$5:$P$308,4,FALSE)/VLOOKUP(LARGE('[1]Top25CCHS'!$A$5:$A$308,4),'[1]Top25CCHS'!$A$5:$P$308,9,FALSE)*100</f>
        <v>0</v>
      </c>
      <c r="J6" s="14">
        <f>VLOOKUP(LARGE('[1]Top25CCHS'!$A$5:$A$308,4),'[1]Top25CCHS'!$A$5:$P$308,5,FALSE)/VLOOKUP(LARGE('[1]Top25CCHS'!$A$5:$A$308,4),'[1]Top25CCHS'!$A$5:$P$308,9,FALSE)*100</f>
        <v>1.7985611510791366</v>
      </c>
      <c r="K6" s="14">
        <f>VLOOKUP(LARGE('[1]Top25CCHS'!$A$5:$A$308,4),'[1]Top25CCHS'!$A$5:$P$308,6,FALSE)/VLOOKUP(LARGE('[1]Top25CCHS'!$A$5:$A$308,4),'[1]Top25CCHS'!$A$5:$P$308,9,FALSE)*100</f>
        <v>45.97122302158274</v>
      </c>
      <c r="L6" s="14">
        <f>VLOOKUP(LARGE('[1]Top25CCHS'!$A$5:$A$308,4),'[1]Top25CCHS'!$A$5:$P$308,7,FALSE)/VLOOKUP(LARGE('[1]Top25CCHS'!$A$5:$A$308,4),'[1]Top25CCHS'!$A$5:$P$308,9,FALSE)*100</f>
        <v>52.230215827338135</v>
      </c>
    </row>
    <row r="7" spans="1:12" ht="11.25">
      <c r="A7" s="8" t="str">
        <f>VLOOKUP(LARGE('[1]Top25CCHS'!$A$5:$C$308,5),'[1]Top25CCHS'!$A$5:$C$308,3,FALSE)</f>
        <v>HEART FAILURE                                                                     </v>
      </c>
      <c r="B7" s="9">
        <f>VLOOKUP(LARGE('[1]Top25CCHS'!$A$5:$C$308,5),'[1]Top25CCHS'!$A$5:$C$308,1,FALSE)</f>
        <v>1309</v>
      </c>
      <c r="C7" s="10">
        <f>VLOOKUP(LARGE('[1]Top25CCHS'!$A$5:$C$308,5),'[1]Top25CCHS'!$A$5:$C$308,1,FALSE)/'[1]Top25CCHS'!$I$309*100</f>
        <v>4.559069378657007</v>
      </c>
      <c r="D7" s="10">
        <f>(VLOOKUP(LARGE('[1]Top25CCHS'!$A$5:$C$308,5),'[1]Top25CCHS'!$A$5:$C$308,1,FALSE)/'[1]Top25CCHS'!$I$310*100)</f>
        <v>2.2363071035637407</v>
      </c>
      <c r="E7" s="10">
        <f>VLOOKUP(LARGE('[1]Top25CCHS'!$A$5:$A$308,5),'[1]Top25CCHS'!$A$5:$P$308,14,FALSE)</f>
        <v>5.2</v>
      </c>
      <c r="F7" s="11">
        <f>VLOOKUP(LARGE('[1]Top25CCHS'!$A$5:$A$308,5),'[1]Top25CCHS'!$A$5:$P$308,15,FALSE)</f>
        <v>17936.38</v>
      </c>
      <c r="G7" s="12">
        <f>VLOOKUP(LARGE('[1]Top25CCHS'!$A$5:$A$308,5),'[1]Top25CCHS'!$A$5:$P$308,10,FALSE)/VLOOKUP(LARGE('[1]Top25CCHS'!$A$5:$A$308,5),'[1]Top25CCHS'!$A$5:$P$308,13,FALSE)*100</f>
        <v>49.73262032085562</v>
      </c>
      <c r="H7" s="13">
        <f>VLOOKUP(LARGE('[1]Top25CCHS'!$A$5:$A$308,5),'[1]Top25CCHS'!$A$5:$P$308,11,FALSE)/VLOOKUP(LARGE('[1]Top25CCHS'!$A$5:$A$308,5),'[1]Top25CCHS'!$A$5:$P$308,13,FALSE)*100</f>
        <v>50.26737967914438</v>
      </c>
      <c r="I7" s="12">
        <f>VLOOKUP(LARGE('[1]Top25CCHS'!$A$5:$A$308,5),'[1]Top25CCHS'!$A$5:$P$308,4,FALSE)/VLOOKUP(LARGE('[1]Top25CCHS'!$A$5:$A$308,5),'[1]Top25CCHS'!$A$5:$P$308,9,FALSE)*100</f>
        <v>0</v>
      </c>
      <c r="J7" s="14">
        <f>VLOOKUP(LARGE('[1]Top25CCHS'!$A$5:$A$308,5),'[1]Top25CCHS'!$A$5:$P$308,5,FALSE)/VLOOKUP(LARGE('[1]Top25CCHS'!$A$5:$A$308,5),'[1]Top25CCHS'!$A$5:$P$308,9,FALSE)*100</f>
        <v>4.201680672268908</v>
      </c>
      <c r="K7" s="14">
        <f>VLOOKUP(LARGE('[1]Top25CCHS'!$A$5:$A$308,5),'[1]Top25CCHS'!$A$5:$P$308,6,FALSE)/VLOOKUP(LARGE('[1]Top25CCHS'!$A$5:$A$308,5),'[1]Top25CCHS'!$A$5:$P$308,9,FALSE)*100</f>
        <v>23.14744079449962</v>
      </c>
      <c r="L7" s="14">
        <f>VLOOKUP(LARGE('[1]Top25CCHS'!$A$5:$A$308,5),'[1]Top25CCHS'!$A$5:$P$308,7,FALSE)/VLOOKUP(LARGE('[1]Top25CCHS'!$A$5:$A$308,5),'[1]Top25CCHS'!$A$5:$P$308,9,FALSE)*100</f>
        <v>72.65087853323148</v>
      </c>
    </row>
    <row r="8" spans="1:12" ht="11.25">
      <c r="A8" s="8" t="str">
        <f>VLOOKUP(LARGE('[1]Top25CCHS'!$A$5:$C$308,6),'[1]Top25CCHS'!$A$5:$C$308,3,FALSE)</f>
        <v>OTHER PNEUMONIA                                                                   </v>
      </c>
      <c r="B8" s="9">
        <f>VLOOKUP(LARGE('[1]Top25CCHS'!$A$5:$C$308,6),'[1]Top25CCHS'!$A$5:$C$308,1,FALSE)</f>
        <v>1224</v>
      </c>
      <c r="C8" s="10">
        <f>VLOOKUP(LARGE('[1]Top25CCHS'!$A$5:$C$308,6),'[1]Top25CCHS'!$A$5:$C$308,1,FALSE)/'[1]Top25CCHS'!$I$309*100</f>
        <v>4.263025912510448</v>
      </c>
      <c r="D8" s="10">
        <f>(VLOOKUP(LARGE('[1]Top25CCHS'!$A$5:$C$308,6),'[1]Top25CCHS'!$A$5:$C$308,1,FALSE)/'[1]Top25CCHS'!$I$310*100)</f>
        <v>2.091092356579082</v>
      </c>
      <c r="E8" s="10">
        <f>VLOOKUP(LARGE('[1]Top25CCHS'!$A$5:$A$308,6),'[1]Top25CCHS'!$A$5:$P$308,14,FALSE)</f>
        <v>5.1</v>
      </c>
      <c r="F8" s="11">
        <f>VLOOKUP(LARGE('[1]Top25CCHS'!$A$5:$A$308,6),'[1]Top25CCHS'!$A$5:$P$308,15,FALSE)</f>
        <v>17437.41</v>
      </c>
      <c r="G8" s="12">
        <f>VLOOKUP(LARGE('[1]Top25CCHS'!$A$5:$A$308,6),'[1]Top25CCHS'!$A$5:$P$308,10,FALSE)/VLOOKUP(LARGE('[1]Top25CCHS'!$A$5:$A$308,6),'[1]Top25CCHS'!$A$5:$P$308,13,FALSE)*100</f>
        <v>47.630718954248366</v>
      </c>
      <c r="H8" s="13">
        <f>VLOOKUP(LARGE('[1]Top25CCHS'!$A$5:$A$308,6),'[1]Top25CCHS'!$A$5:$P$308,11,FALSE)/VLOOKUP(LARGE('[1]Top25CCHS'!$A$5:$A$308,6),'[1]Top25CCHS'!$A$5:$P$308,13,FALSE)*100</f>
        <v>52.369281045751634</v>
      </c>
      <c r="I8" s="12">
        <f>VLOOKUP(LARGE('[1]Top25CCHS'!$A$5:$A$308,6),'[1]Top25CCHS'!$A$5:$P$308,4,FALSE)/VLOOKUP(LARGE('[1]Top25CCHS'!$A$5:$A$308,6),'[1]Top25CCHS'!$A$5:$P$308,9,FALSE)*100</f>
        <v>1.4705882352941175</v>
      </c>
      <c r="J8" s="14">
        <f>VLOOKUP(LARGE('[1]Top25CCHS'!$A$5:$A$308,6),'[1]Top25CCHS'!$A$5:$P$308,5,FALSE)/VLOOKUP(LARGE('[1]Top25CCHS'!$A$5:$A$308,6),'[1]Top25CCHS'!$A$5:$P$308,9,FALSE)*100</f>
        <v>11.519607843137255</v>
      </c>
      <c r="K8" s="14">
        <f>VLOOKUP(LARGE('[1]Top25CCHS'!$A$5:$A$308,6),'[1]Top25CCHS'!$A$5:$P$308,6,FALSE)/VLOOKUP(LARGE('[1]Top25CCHS'!$A$5:$A$308,6),'[1]Top25CCHS'!$A$5:$P$308,9,FALSE)*100</f>
        <v>25.653594771241828</v>
      </c>
      <c r="L8" s="14">
        <f>VLOOKUP(LARGE('[1]Top25CCHS'!$A$5:$A$308,6),'[1]Top25CCHS'!$A$5:$P$308,7,FALSE)/VLOOKUP(LARGE('[1]Top25CCHS'!$A$5:$A$308,6),'[1]Top25CCHS'!$A$5:$P$308,9,FALSE)*100</f>
        <v>61.356209150326805</v>
      </c>
    </row>
    <row r="9" spans="1:12" ht="11.25">
      <c r="A9" s="8" t="str">
        <f>VLOOKUP(LARGE('[1]Top25CCHS'!$A$5:$C$308,7),'[1]Top25CCHS'!$A$5:$C$308,3,FALSE)</f>
        <v>CHRONIC OBSTRUCTIVE PULMONARY DISEASE                                             </v>
      </c>
      <c r="B9" s="9">
        <f>VLOOKUP(LARGE('[1]Top25CCHS'!$A$5:$C$308,7),'[1]Top25CCHS'!$A$5:$C$308,1,FALSE)</f>
        <v>1155</v>
      </c>
      <c r="C9" s="10">
        <f>VLOOKUP(LARGE('[1]Top25CCHS'!$A$5:$C$308,7),'[1]Top25CCHS'!$A$5:$C$308,1,FALSE)/'[1]Top25CCHS'!$I$309*100</f>
        <v>4.022708275285595</v>
      </c>
      <c r="D9" s="10">
        <f>(VLOOKUP(LARGE('[1]Top25CCHS'!$A$5:$C$308,7),'[1]Top25CCHS'!$A$5:$C$308,1,FALSE)/'[1]Top25CCHS'!$I$310*100)</f>
        <v>1.9732121502033007</v>
      </c>
      <c r="E9" s="10">
        <f>VLOOKUP(LARGE('[1]Top25CCHS'!$A$5:$A$308,7),'[1]Top25CCHS'!$A$5:$P$308,14,FALSE)</f>
        <v>4.6</v>
      </c>
      <c r="F9" s="11">
        <f>VLOOKUP(LARGE('[1]Top25CCHS'!$A$5:$A$308,7),'[1]Top25CCHS'!$A$5:$P$308,15,FALSE)</f>
        <v>15647.22</v>
      </c>
      <c r="G9" s="12">
        <f>VLOOKUP(LARGE('[1]Top25CCHS'!$A$5:$A$308,7),'[1]Top25CCHS'!$A$5:$P$308,10,FALSE)/VLOOKUP(LARGE('[1]Top25CCHS'!$A$5:$A$308,7),'[1]Top25CCHS'!$A$5:$P$308,13,FALSE)*100</f>
        <v>40.865800865800864</v>
      </c>
      <c r="H9" s="13">
        <f>VLOOKUP(LARGE('[1]Top25CCHS'!$A$5:$A$308,7),'[1]Top25CCHS'!$A$5:$P$308,11,FALSE)/VLOOKUP(LARGE('[1]Top25CCHS'!$A$5:$A$308,7),'[1]Top25CCHS'!$A$5:$P$308,13,FALSE)*100</f>
        <v>59.134199134199136</v>
      </c>
      <c r="I9" s="12">
        <f>VLOOKUP(LARGE('[1]Top25CCHS'!$A$5:$A$308,7),'[1]Top25CCHS'!$A$5:$P$308,4,FALSE)/VLOOKUP(LARGE('[1]Top25CCHS'!$A$5:$A$308,7),'[1]Top25CCHS'!$A$5:$P$308,9,FALSE)*100</f>
        <v>0</v>
      </c>
      <c r="J9" s="14">
        <f>VLOOKUP(LARGE('[1]Top25CCHS'!$A$5:$A$308,7),'[1]Top25CCHS'!$A$5:$P$308,5,FALSE)/VLOOKUP(LARGE('[1]Top25CCHS'!$A$5:$A$308,7),'[1]Top25CCHS'!$A$5:$P$308,9,FALSE)*100</f>
        <v>1.9913419913419914</v>
      </c>
      <c r="K9" s="14">
        <f>VLOOKUP(LARGE('[1]Top25CCHS'!$A$5:$A$308,7),'[1]Top25CCHS'!$A$5:$P$308,6,FALSE)/VLOOKUP(LARGE('[1]Top25CCHS'!$A$5:$A$308,7),'[1]Top25CCHS'!$A$5:$P$308,9,FALSE)*100</f>
        <v>38.874458874458874</v>
      </c>
      <c r="L9" s="14">
        <f>VLOOKUP(LARGE('[1]Top25CCHS'!$A$5:$A$308,7),'[1]Top25CCHS'!$A$5:$P$308,7,FALSE)/VLOOKUP(LARGE('[1]Top25CCHS'!$A$5:$A$308,7),'[1]Top25CCHS'!$A$5:$P$308,9,FALSE)*100</f>
        <v>59.134199134199136</v>
      </c>
    </row>
    <row r="10" spans="1:12" ht="11.25">
      <c r="A10" s="8" t="str">
        <f>VLOOKUP(LARGE('[1]Top25CCHS'!$A$5:$C$308,8),'[1]Top25CCHS'!$A$5:$C$308,3,FALSE)</f>
        <v>KIDNEY &amp; URINARY TRACT INFECTIONS                                                 </v>
      </c>
      <c r="B10" s="9">
        <f>VLOOKUP(LARGE('[1]Top25CCHS'!$A$5:$C$308,8),'[1]Top25CCHS'!$A$5:$C$308,1,FALSE)</f>
        <v>945</v>
      </c>
      <c r="C10" s="10">
        <f>VLOOKUP(LARGE('[1]Top25CCHS'!$A$5:$C$308,8),'[1]Top25CCHS'!$A$5:$C$308,1,FALSE)/'[1]Top25CCHS'!$I$309*100</f>
        <v>3.291306770688214</v>
      </c>
      <c r="D10" s="10">
        <f>(VLOOKUP(LARGE('[1]Top25CCHS'!$A$5:$C$308,8),'[1]Top25CCHS'!$A$5:$C$308,1,FALSE)/'[1]Top25CCHS'!$I$310*100)</f>
        <v>1.6144463047117914</v>
      </c>
      <c r="E10" s="10">
        <f>VLOOKUP(LARGE('[1]Top25CCHS'!$A$5:$A$308,8),'[1]Top25CCHS'!$A$5:$P$308,14,FALSE)</f>
        <v>4.5</v>
      </c>
      <c r="F10" s="11">
        <f>VLOOKUP(LARGE('[1]Top25CCHS'!$A$5:$A$308,8),'[1]Top25CCHS'!$A$5:$P$308,15,FALSE)</f>
        <v>13224.92</v>
      </c>
      <c r="G10" s="12">
        <f>VLOOKUP(LARGE('[1]Top25CCHS'!$A$5:$A$308,8),'[1]Top25CCHS'!$A$5:$P$308,10,FALSE)/VLOOKUP(LARGE('[1]Top25CCHS'!$A$5:$A$308,8),'[1]Top25CCHS'!$A$5:$P$308,13,FALSE)*100</f>
        <v>24.232804232804234</v>
      </c>
      <c r="H10" s="13">
        <f>VLOOKUP(LARGE('[1]Top25CCHS'!$A$5:$A$308,8),'[1]Top25CCHS'!$A$5:$P$308,11,FALSE)/VLOOKUP(LARGE('[1]Top25CCHS'!$A$5:$A$308,8),'[1]Top25CCHS'!$A$5:$P$308,13,FALSE)*100</f>
        <v>75.76719576719577</v>
      </c>
      <c r="I10" s="12">
        <f>VLOOKUP(LARGE('[1]Top25CCHS'!$A$5:$A$308,8),'[1]Top25CCHS'!$A$5:$P$308,4,FALSE)/VLOOKUP(LARGE('[1]Top25CCHS'!$A$5:$A$308,8),'[1]Top25CCHS'!$A$5:$P$308,9,FALSE)*100</f>
        <v>1.5873015873015872</v>
      </c>
      <c r="J10" s="14">
        <f>VLOOKUP(LARGE('[1]Top25CCHS'!$A$5:$A$308,8),'[1]Top25CCHS'!$A$5:$P$308,5,FALSE)/VLOOKUP(LARGE('[1]Top25CCHS'!$A$5:$A$308,8),'[1]Top25CCHS'!$A$5:$P$308,9,FALSE)*100</f>
        <v>14.814814814814813</v>
      </c>
      <c r="K10" s="14">
        <f>VLOOKUP(LARGE('[1]Top25CCHS'!$A$5:$A$308,8),'[1]Top25CCHS'!$A$5:$P$308,6,FALSE)/VLOOKUP(LARGE('[1]Top25CCHS'!$A$5:$A$308,8),'[1]Top25CCHS'!$A$5:$P$308,9,FALSE)*100</f>
        <v>18.306878306878307</v>
      </c>
      <c r="L10" s="14">
        <f>VLOOKUP(LARGE('[1]Top25CCHS'!$A$5:$A$308,8),'[1]Top25CCHS'!$A$5:$P$308,7,FALSE)/VLOOKUP(LARGE('[1]Top25CCHS'!$A$5:$A$308,8),'[1]Top25CCHS'!$A$5:$P$308,9,FALSE)*100</f>
        <v>65.29100529100529</v>
      </c>
    </row>
    <row r="11" spans="1:12" ht="11.25">
      <c r="A11" s="8" t="str">
        <f>VLOOKUP(LARGE('[1]Top25CCHS'!$A$5:$C$308,9),'[1]Top25CCHS'!$A$5:$C$308,3,FALSE)</f>
        <v>HIP JOINT REPLACEMENT                                                             </v>
      </c>
      <c r="B11" s="9">
        <f>VLOOKUP(LARGE('[1]Top25CCHS'!$A$5:$C$308,9),'[1]Top25CCHS'!$A$5:$C$308,1,FALSE)</f>
        <v>846</v>
      </c>
      <c r="C11" s="10">
        <f>VLOOKUP(LARGE('[1]Top25CCHS'!$A$5:$C$308,9),'[1]Top25CCHS'!$A$5:$C$308,1,FALSE)/'[1]Top25CCHS'!$I$309*100</f>
        <v>2.9465032042351633</v>
      </c>
      <c r="D11" s="10">
        <f>(VLOOKUP(LARGE('[1]Top25CCHS'!$A$5:$C$308,9),'[1]Top25CCHS'!$A$5:$C$308,1,FALSE)/'[1]Top25CCHS'!$I$310*100)</f>
        <v>1.4453138346943657</v>
      </c>
      <c r="E11" s="10">
        <f>VLOOKUP(LARGE('[1]Top25CCHS'!$A$5:$A$308,9),'[1]Top25CCHS'!$A$5:$P$308,14,FALSE)</f>
        <v>3.6</v>
      </c>
      <c r="F11" s="11">
        <f>VLOOKUP(LARGE('[1]Top25CCHS'!$A$5:$A$308,9),'[1]Top25CCHS'!$A$5:$P$308,15,FALSE)</f>
        <v>34780.53</v>
      </c>
      <c r="G11" s="12">
        <f>VLOOKUP(LARGE('[1]Top25CCHS'!$A$5:$A$308,9),'[1]Top25CCHS'!$A$5:$P$308,10,FALSE)/VLOOKUP(LARGE('[1]Top25CCHS'!$A$5:$A$308,9),'[1]Top25CCHS'!$A$5:$P$308,13,FALSE)*100</f>
        <v>43.14420803782506</v>
      </c>
      <c r="H11" s="13">
        <f>VLOOKUP(LARGE('[1]Top25CCHS'!$A$5:$A$308,9),'[1]Top25CCHS'!$A$5:$P$308,11,FALSE)/VLOOKUP(LARGE('[1]Top25CCHS'!$A$5:$A$308,9),'[1]Top25CCHS'!$A$5:$P$308,13,FALSE)*100</f>
        <v>56.85579196217494</v>
      </c>
      <c r="I11" s="12">
        <f>VLOOKUP(LARGE('[1]Top25CCHS'!$A$5:$A$308,9),'[1]Top25CCHS'!$A$5:$P$308,4,FALSE)/VLOOKUP(LARGE('[1]Top25CCHS'!$A$5:$A$308,9),'[1]Top25CCHS'!$A$5:$P$308,9,FALSE)*100</f>
        <v>0</v>
      </c>
      <c r="J11" s="14">
        <f>VLOOKUP(LARGE('[1]Top25CCHS'!$A$5:$A$308,9),'[1]Top25CCHS'!$A$5:$P$308,5,FALSE)/VLOOKUP(LARGE('[1]Top25CCHS'!$A$5:$A$308,9),'[1]Top25CCHS'!$A$5:$P$308,9,FALSE)*100</f>
        <v>4.0189125295508275</v>
      </c>
      <c r="K11" s="14">
        <f>VLOOKUP(LARGE('[1]Top25CCHS'!$A$5:$A$308,9),'[1]Top25CCHS'!$A$5:$P$308,6,FALSE)/VLOOKUP(LARGE('[1]Top25CCHS'!$A$5:$A$308,9),'[1]Top25CCHS'!$A$5:$P$308,9,FALSE)*100</f>
        <v>39.59810874704492</v>
      </c>
      <c r="L11" s="14">
        <f>VLOOKUP(LARGE('[1]Top25CCHS'!$A$5:$A$308,9),'[1]Top25CCHS'!$A$5:$P$308,7,FALSE)/VLOOKUP(LARGE('[1]Top25CCHS'!$A$5:$A$308,9),'[1]Top25CCHS'!$A$5:$P$308,9,FALSE)*100</f>
        <v>56.38297872340425</v>
      </c>
    </row>
    <row r="12" spans="1:12" ht="11.25">
      <c r="A12" s="8" t="str">
        <f>VLOOKUP(LARGE('[1]Top25CCHS'!$A$5:$C$308,10),'[1]Top25CCHS'!$A$5:$C$308,3,FALSE)</f>
        <v>MAJOR SMALL &amp; LARGE BOWEL PROCEDURES                                              </v>
      </c>
      <c r="B12" s="9">
        <f>VLOOKUP(LARGE('[1]Top25CCHS'!$A$5:$C$308,10),'[1]Top25CCHS'!$A$5:$C$308,1,FALSE)</f>
        <v>815</v>
      </c>
      <c r="C12" s="10">
        <f>VLOOKUP(LARGE('[1]Top25CCHS'!$A$5:$C$308,10),'[1]Top25CCHS'!$A$5:$C$308,1,FALSE)/'[1]Top25CCHS'!$I$309*100</f>
        <v>2.838534410699359</v>
      </c>
      <c r="D12" s="10">
        <f>(VLOOKUP(LARGE('[1]Top25CCHS'!$A$5:$C$308,10),'[1]Top25CCHS'!$A$5:$C$308,1,FALSE)/'[1]Top25CCHS'!$I$310*100)</f>
        <v>1.3923531622646665</v>
      </c>
      <c r="E12" s="10">
        <f>VLOOKUP(LARGE('[1]Top25CCHS'!$A$5:$A$308,10),'[1]Top25CCHS'!$A$5:$P$308,14,FALSE)</f>
        <v>8.6</v>
      </c>
      <c r="F12" s="11">
        <f>VLOOKUP(LARGE('[1]Top25CCHS'!$A$5:$A$308,10),'[1]Top25CCHS'!$A$5:$P$308,15,FALSE)</f>
        <v>40482.1</v>
      </c>
      <c r="G12" s="12">
        <f>VLOOKUP(LARGE('[1]Top25CCHS'!$A$5:$A$308,10),'[1]Top25CCHS'!$A$5:$P$308,10,FALSE)/VLOOKUP(LARGE('[1]Top25CCHS'!$A$5:$A$308,10),'[1]Top25CCHS'!$A$5:$P$308,13,FALSE)*100</f>
        <v>46.87116564417178</v>
      </c>
      <c r="H12" s="13">
        <f>VLOOKUP(LARGE('[1]Top25CCHS'!$A$5:$A$308,10),'[1]Top25CCHS'!$A$5:$P$308,11,FALSE)/VLOOKUP(LARGE('[1]Top25CCHS'!$A$5:$A$308,10),'[1]Top25CCHS'!$A$5:$P$308,13,FALSE)*100</f>
        <v>53.128834355828225</v>
      </c>
      <c r="I12" s="12">
        <f>VLOOKUP(LARGE('[1]Top25CCHS'!$A$5:$A$308,10),'[1]Top25CCHS'!$A$5:$P$308,4,FALSE)/VLOOKUP(LARGE('[1]Top25CCHS'!$A$5:$A$308,10),'[1]Top25CCHS'!$A$5:$P$308,9,FALSE)*100</f>
        <v>0.245398773006135</v>
      </c>
      <c r="J12" s="14">
        <f>VLOOKUP(LARGE('[1]Top25CCHS'!$A$5:$A$308,10),'[1]Top25CCHS'!$A$5:$P$308,5,FALSE)/VLOOKUP(LARGE('[1]Top25CCHS'!$A$5:$A$308,10),'[1]Top25CCHS'!$A$5:$P$308,9,FALSE)*100</f>
        <v>14.723926380368098</v>
      </c>
      <c r="K12" s="14">
        <f>VLOOKUP(LARGE('[1]Top25CCHS'!$A$5:$A$308,10),'[1]Top25CCHS'!$A$5:$P$308,6,FALSE)/VLOOKUP(LARGE('[1]Top25CCHS'!$A$5:$A$308,10),'[1]Top25CCHS'!$A$5:$P$308,9,FALSE)*100</f>
        <v>43.92638036809816</v>
      </c>
      <c r="L12" s="14">
        <f>VLOOKUP(LARGE('[1]Top25CCHS'!$A$5:$A$308,10),'[1]Top25CCHS'!$A$5:$P$308,7,FALSE)/VLOOKUP(LARGE('[1]Top25CCHS'!$A$5:$A$308,10),'[1]Top25CCHS'!$A$5:$P$308,9,FALSE)*100</f>
        <v>41.104294478527606</v>
      </c>
    </row>
    <row r="13" spans="1:12" ht="11.25">
      <c r="A13" s="8" t="str">
        <f>VLOOKUP(LARGE('[1]Top25CCHS'!$A$5:$C$308,11),'[1]Top25CCHS'!$A$5:$C$308,3,FALSE)</f>
        <v>CELLULITIS &amp; OTHER BACTERIAL SKIN INFECTIONS                                      </v>
      </c>
      <c r="B13" s="9">
        <f>VLOOKUP(LARGE('[1]Top25CCHS'!$A$5:$C$308,11),'[1]Top25CCHS'!$A$5:$C$308,1,FALSE)</f>
        <v>802</v>
      </c>
      <c r="C13" s="10">
        <f>VLOOKUP(LARGE('[1]Top25CCHS'!$A$5:$C$308,11),'[1]Top25CCHS'!$A$5:$C$308,1,FALSE)/'[1]Top25CCHS'!$I$309*100</f>
        <v>2.7932571747004737</v>
      </c>
      <c r="D13" s="10">
        <f>(VLOOKUP(LARGE('[1]Top25CCHS'!$A$5:$C$308,11),'[1]Top25CCHS'!$A$5:$C$308,1,FALSE)/'[1]Top25CCHS'!$I$310*100)</f>
        <v>1.3701438480199541</v>
      </c>
      <c r="E13" s="10">
        <f>VLOOKUP(LARGE('[1]Top25CCHS'!$A$5:$A$308,11),'[1]Top25CCHS'!$A$5:$P$308,14,FALSE)</f>
        <v>3.9</v>
      </c>
      <c r="F13" s="11">
        <f>VLOOKUP(LARGE('[1]Top25CCHS'!$A$5:$A$308,11),'[1]Top25CCHS'!$A$5:$P$308,15,FALSE)</f>
        <v>10927.86</v>
      </c>
      <c r="G13" s="12">
        <f>VLOOKUP(LARGE('[1]Top25CCHS'!$A$5:$A$308,11),'[1]Top25CCHS'!$A$5:$P$308,10,FALSE)/VLOOKUP(LARGE('[1]Top25CCHS'!$A$5:$A$308,11),'[1]Top25CCHS'!$A$5:$P$308,13,FALSE)*100</f>
        <v>52.49376558603491</v>
      </c>
      <c r="H13" s="13">
        <f>VLOOKUP(LARGE('[1]Top25CCHS'!$A$5:$A$308,11),'[1]Top25CCHS'!$A$5:$P$308,11,FALSE)/VLOOKUP(LARGE('[1]Top25CCHS'!$A$5:$A$308,11),'[1]Top25CCHS'!$A$5:$P$308,13,FALSE)*100</f>
        <v>47.50623441396509</v>
      </c>
      <c r="I13" s="12">
        <f>VLOOKUP(LARGE('[1]Top25CCHS'!$A$5:$A$308,11),'[1]Top25CCHS'!$A$5:$P$308,4,FALSE)/VLOOKUP(LARGE('[1]Top25CCHS'!$A$5:$A$308,11),'[1]Top25CCHS'!$A$5:$P$308,9,FALSE)*100</f>
        <v>1.6209476309226933</v>
      </c>
      <c r="J13" s="14">
        <f>VLOOKUP(LARGE('[1]Top25CCHS'!$A$5:$A$308,11),'[1]Top25CCHS'!$A$5:$P$308,5,FALSE)/VLOOKUP(LARGE('[1]Top25CCHS'!$A$5:$A$308,11),'[1]Top25CCHS'!$A$5:$P$308,9,FALSE)*100</f>
        <v>31.047381546134662</v>
      </c>
      <c r="K13" s="14">
        <f>VLOOKUP(LARGE('[1]Top25CCHS'!$A$5:$A$308,11),'[1]Top25CCHS'!$A$5:$P$308,6,FALSE)/VLOOKUP(LARGE('[1]Top25CCHS'!$A$5:$A$308,11),'[1]Top25CCHS'!$A$5:$P$308,9,FALSE)*100</f>
        <v>37.78054862842893</v>
      </c>
      <c r="L13" s="14">
        <f>VLOOKUP(LARGE('[1]Top25CCHS'!$A$5:$A$308,11),'[1]Top25CCHS'!$A$5:$P$308,7,FALSE)/VLOOKUP(LARGE('[1]Top25CCHS'!$A$5:$A$308,11),'[1]Top25CCHS'!$A$5:$P$308,9,FALSE)*100</f>
        <v>29.551122194513717</v>
      </c>
    </row>
    <row r="14" spans="1:12" ht="11.25">
      <c r="A14" s="8" t="str">
        <f>VLOOKUP(LARGE('[1]Top25CCHS'!$A$5:$C$308,12),'[1]Top25CCHS'!$A$5:$C$308,3,FALSE)</f>
        <v>SEPTICEMIA &amp; DISSEMINATED INFECTIONS                                              </v>
      </c>
      <c r="B14" s="9">
        <f>VLOOKUP(LARGE('[1]Top25CCHS'!$A$5:$C$308,12),'[1]Top25CCHS'!$A$5:$C$308,1,FALSE)</f>
        <v>776</v>
      </c>
      <c r="C14" s="10">
        <f>VLOOKUP(LARGE('[1]Top25CCHS'!$A$5:$C$308,12),'[1]Top25CCHS'!$A$5:$C$308,1,FALSE)/'[1]Top25CCHS'!$I$309*100</f>
        <v>2.7027027027027026</v>
      </c>
      <c r="D14" s="10">
        <f>(VLOOKUP(LARGE('[1]Top25CCHS'!$A$5:$C$308,12),'[1]Top25CCHS'!$A$5:$C$308,1,FALSE)/'[1]Top25CCHS'!$I$310*100)</f>
        <v>1.3257252195305294</v>
      </c>
      <c r="E14" s="10">
        <f>VLOOKUP(LARGE('[1]Top25CCHS'!$A$5:$A$308,12),'[1]Top25CCHS'!$A$5:$P$308,14,FALSE)</f>
        <v>8.5</v>
      </c>
      <c r="F14" s="11">
        <f>VLOOKUP(LARGE('[1]Top25CCHS'!$A$5:$A$308,12),'[1]Top25CCHS'!$A$5:$P$308,15,FALSE)</f>
        <v>38508.45</v>
      </c>
      <c r="G14" s="12">
        <f>VLOOKUP(LARGE('[1]Top25CCHS'!$A$5:$A$308,12),'[1]Top25CCHS'!$A$5:$P$308,10,FALSE)/VLOOKUP(LARGE('[1]Top25CCHS'!$A$5:$A$308,12),'[1]Top25CCHS'!$A$5:$P$308,13,FALSE)*100</f>
        <v>47.551546391752574</v>
      </c>
      <c r="H14" s="13">
        <f>VLOOKUP(LARGE('[1]Top25CCHS'!$A$5:$A$308,12),'[1]Top25CCHS'!$A$5:$P$308,11,FALSE)/VLOOKUP(LARGE('[1]Top25CCHS'!$A$5:$A$308,12),'[1]Top25CCHS'!$A$5:$P$308,13,FALSE)*100</f>
        <v>52.448453608247426</v>
      </c>
      <c r="I14" s="12">
        <f>VLOOKUP(LARGE('[1]Top25CCHS'!$A$5:$A$308,12),'[1]Top25CCHS'!$A$5:$P$308,4,FALSE)/VLOOKUP(LARGE('[1]Top25CCHS'!$A$5:$A$308,12),'[1]Top25CCHS'!$A$5:$P$308,9,FALSE)*100</f>
        <v>0.12886597938144329</v>
      </c>
      <c r="J14" s="14">
        <f>VLOOKUP(LARGE('[1]Top25CCHS'!$A$5:$A$308,12),'[1]Top25CCHS'!$A$5:$P$308,5,FALSE)/VLOOKUP(LARGE('[1]Top25CCHS'!$A$5:$A$308,12),'[1]Top25CCHS'!$A$5:$P$308,9,FALSE)*100</f>
        <v>7.603092783505154</v>
      </c>
      <c r="K14" s="14">
        <f>VLOOKUP(LARGE('[1]Top25CCHS'!$A$5:$A$308,12),'[1]Top25CCHS'!$A$5:$P$308,6,FALSE)/VLOOKUP(LARGE('[1]Top25CCHS'!$A$5:$A$308,12),'[1]Top25CCHS'!$A$5:$P$308,9,FALSE)*100</f>
        <v>30.670103092783506</v>
      </c>
      <c r="L14" s="14">
        <f>VLOOKUP(LARGE('[1]Top25CCHS'!$A$5:$A$308,12),'[1]Top25CCHS'!$A$5:$P$308,7,FALSE)/VLOOKUP(LARGE('[1]Top25CCHS'!$A$5:$A$308,12),'[1]Top25CCHS'!$A$5:$P$308,9,FALSE)*100</f>
        <v>61.5979381443299</v>
      </c>
    </row>
    <row r="15" spans="1:12" ht="11.25">
      <c r="A15" s="8" t="str">
        <f>VLOOKUP(LARGE('[1]Top25CCHS'!$A$5:$C$308,13),'[1]Top25CCHS'!$A$5:$C$308,3,FALSE)</f>
        <v>CVA &amp; PRECEREBRAL OCCLUSION  W INFARCT                                            </v>
      </c>
      <c r="B15" s="9">
        <f>VLOOKUP(LARGE('[1]Top25CCHS'!$A$5:$C$308,13),'[1]Top25CCHS'!$A$5:$C$308,1,FALSE)</f>
        <v>769</v>
      </c>
      <c r="C15" s="10">
        <f>VLOOKUP(LARGE('[1]Top25CCHS'!$A$5:$C$308,13),'[1]Top25CCHS'!$A$5:$C$308,1,FALSE)/'[1]Top25CCHS'!$I$309*100</f>
        <v>2.678322652549457</v>
      </c>
      <c r="D15" s="10">
        <f>(VLOOKUP(LARGE('[1]Top25CCHS'!$A$5:$C$308,13),'[1]Top25CCHS'!$A$5:$C$308,1,FALSE)/'[1]Top25CCHS'!$I$310*100)</f>
        <v>1.3137663580141457</v>
      </c>
      <c r="E15" s="10">
        <f>VLOOKUP(LARGE('[1]Top25CCHS'!$A$5:$A$308,13),'[1]Top25CCHS'!$A$5:$P$308,14,FALSE)</f>
        <v>5.3</v>
      </c>
      <c r="F15" s="11">
        <f>VLOOKUP(LARGE('[1]Top25CCHS'!$A$5:$A$308,13),'[1]Top25CCHS'!$A$5:$P$308,15,FALSE)</f>
        <v>20701.65</v>
      </c>
      <c r="G15" s="12">
        <f>VLOOKUP(LARGE('[1]Top25CCHS'!$A$5:$A$308,13),'[1]Top25CCHS'!$A$5:$P$308,10,FALSE)/VLOOKUP(LARGE('[1]Top25CCHS'!$A$5:$A$308,13),'[1]Top25CCHS'!$A$5:$P$308,13,FALSE)*100</f>
        <v>45.25357607282184</v>
      </c>
      <c r="H15" s="13">
        <f>VLOOKUP(LARGE('[1]Top25CCHS'!$A$5:$A$308,13),'[1]Top25CCHS'!$A$5:$P$308,11,FALSE)/VLOOKUP(LARGE('[1]Top25CCHS'!$A$5:$A$308,13),'[1]Top25CCHS'!$A$5:$P$308,13,FALSE)*100</f>
        <v>54.74642392717816</v>
      </c>
      <c r="I15" s="12">
        <f>VLOOKUP(LARGE('[1]Top25CCHS'!$A$5:$A$308,13),'[1]Top25CCHS'!$A$5:$P$308,4,FALSE)/VLOOKUP(LARGE('[1]Top25CCHS'!$A$5:$A$308,13),'[1]Top25CCHS'!$A$5:$P$308,9,FALSE)*100</f>
        <v>0</v>
      </c>
      <c r="J15" s="14">
        <f>VLOOKUP(LARGE('[1]Top25CCHS'!$A$5:$A$308,13),'[1]Top25CCHS'!$A$5:$P$308,5,FALSE)/VLOOKUP(LARGE('[1]Top25CCHS'!$A$5:$A$308,13),'[1]Top25CCHS'!$A$5:$P$308,9,FALSE)*100</f>
        <v>3.7711313394018204</v>
      </c>
      <c r="K15" s="14">
        <f>VLOOKUP(LARGE('[1]Top25CCHS'!$A$5:$A$308,13),'[1]Top25CCHS'!$A$5:$P$308,6,FALSE)/VLOOKUP(LARGE('[1]Top25CCHS'!$A$5:$A$308,13),'[1]Top25CCHS'!$A$5:$P$308,9,FALSE)*100</f>
        <v>26.527958387516254</v>
      </c>
      <c r="L15" s="14">
        <f>VLOOKUP(LARGE('[1]Top25CCHS'!$A$5:$A$308,13),'[1]Top25CCHS'!$A$5:$P$308,7,FALSE)/VLOOKUP(LARGE('[1]Top25CCHS'!$A$5:$A$308,13),'[1]Top25CCHS'!$A$5:$P$308,9,FALSE)*100</f>
        <v>69.70091027308193</v>
      </c>
    </row>
    <row r="16" spans="1:12" ht="11.25">
      <c r="A16" s="8" t="str">
        <f>VLOOKUP(LARGE('[1]Top25CCHS'!$A$5:$C$308,14),'[1]Top25CCHS'!$A$5:$C$308,3,FALSE)</f>
        <v>REHABILITATION                                                                    </v>
      </c>
      <c r="B16" s="9">
        <f>VLOOKUP(LARGE('[1]Top25CCHS'!$A$5:$C$308,14),'[1]Top25CCHS'!$A$5:$C$308,1,FALSE)</f>
        <v>689</v>
      </c>
      <c r="C16" s="10">
        <f>VLOOKUP(LARGE('[1]Top25CCHS'!$A$5:$C$308,14),'[1]Top25CCHS'!$A$5:$C$308,1,FALSE)/'[1]Top25CCHS'!$I$309*100</f>
        <v>2.3996935079409307</v>
      </c>
      <c r="D16" s="10">
        <f>(VLOOKUP(LARGE('[1]Top25CCHS'!$A$5:$C$308,14),'[1]Top25CCHS'!$A$5:$C$308,1,FALSE)/'[1]Top25CCHS'!$I$310*100)</f>
        <v>1.177093654969761</v>
      </c>
      <c r="E16" s="10">
        <f>VLOOKUP(LARGE('[1]Top25CCHS'!$A$5:$A$308,14),'[1]Top25CCHS'!$A$5:$P$308,14,FALSE)</f>
        <v>12.5</v>
      </c>
      <c r="F16" s="11">
        <f>VLOOKUP(LARGE('[1]Top25CCHS'!$A$5:$A$308,14),'[1]Top25CCHS'!$A$5:$P$308,15,FALSE)</f>
        <v>25430.77</v>
      </c>
      <c r="G16" s="12">
        <f>VLOOKUP(LARGE('[1]Top25CCHS'!$A$5:$A$308,14),'[1]Top25CCHS'!$A$5:$P$308,10,FALSE)/VLOOKUP(LARGE('[1]Top25CCHS'!$A$5:$A$308,14),'[1]Top25CCHS'!$A$5:$P$308,13,FALSE)*100</f>
        <v>46.15384615384615</v>
      </c>
      <c r="H16" s="13">
        <f>VLOOKUP(LARGE('[1]Top25CCHS'!$A$5:$A$308,14),'[1]Top25CCHS'!$A$5:$P$308,11,FALSE)/VLOOKUP(LARGE('[1]Top25CCHS'!$A$5:$A$308,14),'[1]Top25CCHS'!$A$5:$P$308,13,FALSE)*100</f>
        <v>53.84615384615385</v>
      </c>
      <c r="I16" s="12">
        <f>VLOOKUP(LARGE('[1]Top25CCHS'!$A$5:$A$308,14),'[1]Top25CCHS'!$A$5:$P$308,4,FALSE)/VLOOKUP(LARGE('[1]Top25CCHS'!$A$5:$A$308,14),'[1]Top25CCHS'!$A$5:$P$308,9,FALSE)*100</f>
        <v>0</v>
      </c>
      <c r="J16" s="14">
        <f>VLOOKUP(LARGE('[1]Top25CCHS'!$A$5:$A$308,14),'[1]Top25CCHS'!$A$5:$P$308,5,FALSE)/VLOOKUP(LARGE('[1]Top25CCHS'!$A$5:$A$308,14),'[1]Top25CCHS'!$A$5:$P$308,9,FALSE)*100</f>
        <v>6.676342525399129</v>
      </c>
      <c r="K16" s="14">
        <f>VLOOKUP(LARGE('[1]Top25CCHS'!$A$5:$A$308,14),'[1]Top25CCHS'!$A$5:$P$308,6,FALSE)/VLOOKUP(LARGE('[1]Top25CCHS'!$A$5:$A$308,14),'[1]Top25CCHS'!$A$5:$P$308,9,FALSE)*100</f>
        <v>27.431059506531202</v>
      </c>
      <c r="L16" s="14">
        <f>VLOOKUP(LARGE('[1]Top25CCHS'!$A$5:$A$308,14),'[1]Top25CCHS'!$A$5:$P$308,7,FALSE)/VLOOKUP(LARGE('[1]Top25CCHS'!$A$5:$A$308,14),'[1]Top25CCHS'!$A$5:$P$308,9,FALSE)*100</f>
        <v>65.89259796806967</v>
      </c>
    </row>
    <row r="17" spans="1:12" ht="11.25">
      <c r="A17" s="8" t="str">
        <f>VLOOKUP(LARGE('[1]Top25CCHS'!$A$5:$C$308,15),'[1]Top25CCHS'!$A$5:$C$308,3,FALSE)</f>
        <v>CARDIAC ARRHYTHMIA &amp; CONDUCTION DISORDERS                                         </v>
      </c>
      <c r="B17" s="9">
        <f>VLOOKUP(LARGE('[1]Top25CCHS'!$A$5:$C$308,15),'[1]Top25CCHS'!$A$5:$C$308,1,FALSE)</f>
        <v>662</v>
      </c>
      <c r="C17" s="10">
        <f>VLOOKUP(LARGE('[1]Top25CCHS'!$A$5:$C$308,15),'[1]Top25CCHS'!$A$5:$C$308,1,FALSE)/'[1]Top25CCHS'!$I$309*100</f>
        <v>2.305656171635553</v>
      </c>
      <c r="D17" s="10">
        <f>(VLOOKUP(LARGE('[1]Top25CCHS'!$A$5:$C$308,15),'[1]Top25CCHS'!$A$5:$C$308,1,FALSE)/'[1]Top25CCHS'!$I$310*100)</f>
        <v>1.1309666176922815</v>
      </c>
      <c r="E17" s="10">
        <f>VLOOKUP(LARGE('[1]Top25CCHS'!$A$5:$A$308,15),'[1]Top25CCHS'!$A$5:$P$308,14,FALSE)</f>
        <v>3.5</v>
      </c>
      <c r="F17" s="11">
        <f>VLOOKUP(LARGE('[1]Top25CCHS'!$A$5:$A$308,15),'[1]Top25CCHS'!$A$5:$P$308,15,FALSE)</f>
        <v>14786.71</v>
      </c>
      <c r="G17" s="12">
        <f>VLOOKUP(LARGE('[1]Top25CCHS'!$A$5:$A$308,15),'[1]Top25CCHS'!$A$5:$P$308,10,FALSE)/VLOOKUP(LARGE('[1]Top25CCHS'!$A$5:$A$308,15),'[1]Top25CCHS'!$A$5:$P$308,13,FALSE)*100</f>
        <v>51.057401812688816</v>
      </c>
      <c r="H17" s="13">
        <f>VLOOKUP(LARGE('[1]Top25CCHS'!$A$5:$A$308,15),'[1]Top25CCHS'!$A$5:$P$308,11,FALSE)/VLOOKUP(LARGE('[1]Top25CCHS'!$A$5:$A$308,15),'[1]Top25CCHS'!$A$5:$P$308,13,FALSE)*100</f>
        <v>48.94259818731118</v>
      </c>
      <c r="I17" s="12">
        <f>VLOOKUP(LARGE('[1]Top25CCHS'!$A$5:$A$308,15),'[1]Top25CCHS'!$A$5:$P$308,4,FALSE)/VLOOKUP(LARGE('[1]Top25CCHS'!$A$5:$A$308,15),'[1]Top25CCHS'!$A$5:$P$308,9,FALSE)*100</f>
        <v>0.1510574018126888</v>
      </c>
      <c r="J17" s="14">
        <f>VLOOKUP(LARGE('[1]Top25CCHS'!$A$5:$A$308,15),'[1]Top25CCHS'!$A$5:$P$308,5,FALSE)/VLOOKUP(LARGE('[1]Top25CCHS'!$A$5:$A$308,15),'[1]Top25CCHS'!$A$5:$P$308,9,FALSE)*100</f>
        <v>6.3444108761329305</v>
      </c>
      <c r="K17" s="14">
        <f>VLOOKUP(LARGE('[1]Top25CCHS'!$A$5:$A$308,15),'[1]Top25CCHS'!$A$5:$P$308,6,FALSE)/VLOOKUP(LARGE('[1]Top25CCHS'!$A$5:$A$308,15),'[1]Top25CCHS'!$A$5:$P$308,9,FALSE)*100</f>
        <v>26.132930513595166</v>
      </c>
      <c r="L17" s="14">
        <f>VLOOKUP(LARGE('[1]Top25CCHS'!$A$5:$A$308,15),'[1]Top25CCHS'!$A$5:$P$308,7,FALSE)/VLOOKUP(LARGE('[1]Top25CCHS'!$A$5:$A$308,15),'[1]Top25CCHS'!$A$5:$P$308,9,FALSE)*100</f>
        <v>67.37160120845923</v>
      </c>
    </row>
    <row r="18" spans="1:12" ht="11.25">
      <c r="A18" s="8" t="str">
        <f>VLOOKUP(LARGE('[1]Top25CCHS'!$A$5:$C$308,16),'[1]Top25CCHS'!$A$5:$C$308,3,FALSE)</f>
        <v>DORSAL &amp; LUMBAR FUSION PROC EXCEPT FOR CURVATURE OF BACK                          </v>
      </c>
      <c r="B18" s="9">
        <f>VLOOKUP(LARGE('[1]Top25CCHS'!$A$5:$C$308,16),'[1]Top25CCHS'!$A$5:$C$308,1,FALSE)</f>
        <v>654</v>
      </c>
      <c r="C18" s="10">
        <f>VLOOKUP(LARGE('[1]Top25CCHS'!$A$5:$C$308,16),'[1]Top25CCHS'!$A$5:$C$308,1,FALSE)/'[1]Top25CCHS'!$I$309*100</f>
        <v>2.2777932571747006</v>
      </c>
      <c r="D18" s="10">
        <f>(VLOOKUP(LARGE('[1]Top25CCHS'!$A$5:$C$308,16),'[1]Top25CCHS'!$A$5:$C$308,1,FALSE)/'[1]Top25CCHS'!$I$310*100)</f>
        <v>1.117299347387843</v>
      </c>
      <c r="E18" s="10">
        <f>VLOOKUP(LARGE('[1]Top25CCHS'!$A$5:$A$308,16),'[1]Top25CCHS'!$A$5:$P$308,14,FALSE)</f>
        <v>3.4</v>
      </c>
      <c r="F18" s="11">
        <f>VLOOKUP(LARGE('[1]Top25CCHS'!$A$5:$A$308,16),'[1]Top25CCHS'!$A$5:$P$308,15,FALSE)</f>
        <v>61867.39</v>
      </c>
      <c r="G18" s="12">
        <f>VLOOKUP(LARGE('[1]Top25CCHS'!$A$5:$A$308,16),'[1]Top25CCHS'!$A$5:$P$308,10,FALSE)/VLOOKUP(LARGE('[1]Top25CCHS'!$A$5:$A$308,16),'[1]Top25CCHS'!$A$5:$P$308,13,FALSE)*100</f>
        <v>48.318042813455655</v>
      </c>
      <c r="H18" s="13">
        <f>VLOOKUP(LARGE('[1]Top25CCHS'!$A$5:$A$308,16),'[1]Top25CCHS'!$A$5:$P$308,11,FALSE)/VLOOKUP(LARGE('[1]Top25CCHS'!$A$5:$A$308,16),'[1]Top25CCHS'!$A$5:$P$308,13,FALSE)*100</f>
        <v>51.681957186544345</v>
      </c>
      <c r="I18" s="12">
        <f>VLOOKUP(LARGE('[1]Top25CCHS'!$A$5:$A$308,16),'[1]Top25CCHS'!$A$5:$P$308,4,FALSE)/VLOOKUP(LARGE('[1]Top25CCHS'!$A$5:$A$308,16),'[1]Top25CCHS'!$A$5:$P$308,9,FALSE)*100</f>
        <v>0</v>
      </c>
      <c r="J18" s="14">
        <f>VLOOKUP(LARGE('[1]Top25CCHS'!$A$5:$A$308,16),'[1]Top25CCHS'!$A$5:$P$308,5,FALSE)/VLOOKUP(LARGE('[1]Top25CCHS'!$A$5:$A$308,16),'[1]Top25CCHS'!$A$5:$P$308,9,FALSE)*100</f>
        <v>25.993883792048926</v>
      </c>
      <c r="K18" s="14">
        <f>VLOOKUP(LARGE('[1]Top25CCHS'!$A$5:$A$308,16),'[1]Top25CCHS'!$A$5:$P$308,6,FALSE)/VLOOKUP(LARGE('[1]Top25CCHS'!$A$5:$A$308,16),'[1]Top25CCHS'!$A$5:$P$308,9,FALSE)*100</f>
        <v>50.764525993883794</v>
      </c>
      <c r="L18" s="14">
        <f>VLOOKUP(LARGE('[1]Top25CCHS'!$A$5:$A$308,16),'[1]Top25CCHS'!$A$5:$P$308,7,FALSE)/VLOOKUP(LARGE('[1]Top25CCHS'!$A$5:$A$308,16),'[1]Top25CCHS'!$A$5:$P$308,9,FALSE)*100</f>
        <v>23.24159021406728</v>
      </c>
    </row>
    <row r="19" spans="1:12" ht="11.25">
      <c r="A19" s="8" t="str">
        <f>VLOOKUP(LARGE('[1]Top25CCHS'!$A$5:$C$308,17),'[1]Top25CCHS'!$A$5:$C$308,3,FALSE)</f>
        <v>PERCUTANEOUS CARDIOVASCULAR PROCEDURES W/O AMI                                    </v>
      </c>
      <c r="B19" s="9">
        <f>VLOOKUP(LARGE('[1]Top25CCHS'!$A$5:$C$308,17),'[1]Top25CCHS'!$A$5:$C$308,1,FALSE)</f>
        <v>576</v>
      </c>
      <c r="C19" s="10">
        <f>VLOOKUP(LARGE('[1]Top25CCHS'!$A$5:$C$308,17),'[1]Top25CCHS'!$A$5:$C$308,1,FALSE)/'[1]Top25CCHS'!$I$309*100</f>
        <v>2.0061298411813877</v>
      </c>
      <c r="D19" s="10">
        <f>(VLOOKUP(LARGE('[1]Top25CCHS'!$A$5:$C$308,17),'[1]Top25CCHS'!$A$5:$C$308,1,FALSE)/'[1]Top25CCHS'!$I$310*100)</f>
        <v>0.9840434619195682</v>
      </c>
      <c r="E19" s="10">
        <f>VLOOKUP(LARGE('[1]Top25CCHS'!$A$5:$A$308,17),'[1]Top25CCHS'!$A$5:$P$308,14,FALSE)</f>
        <v>2.9</v>
      </c>
      <c r="F19" s="11">
        <f>VLOOKUP(LARGE('[1]Top25CCHS'!$A$5:$A$308,17),'[1]Top25CCHS'!$A$5:$P$308,15,FALSE)</f>
        <v>46041.15</v>
      </c>
      <c r="G19" s="12">
        <f>VLOOKUP(LARGE('[1]Top25CCHS'!$A$5:$A$308,17),'[1]Top25CCHS'!$A$5:$P$308,10,FALSE)/VLOOKUP(LARGE('[1]Top25CCHS'!$A$5:$A$308,17),'[1]Top25CCHS'!$A$5:$P$308,13,FALSE)*100</f>
        <v>65.27777777777779</v>
      </c>
      <c r="H19" s="13">
        <f>VLOOKUP(LARGE('[1]Top25CCHS'!$A$5:$A$308,17),'[1]Top25CCHS'!$A$5:$P$308,11,FALSE)/VLOOKUP(LARGE('[1]Top25CCHS'!$A$5:$A$308,17),'[1]Top25CCHS'!$A$5:$P$308,13,FALSE)*100</f>
        <v>34.72222222222222</v>
      </c>
      <c r="I19" s="12">
        <f>VLOOKUP(LARGE('[1]Top25CCHS'!$A$5:$A$308,17),'[1]Top25CCHS'!$A$5:$P$308,4,FALSE)/VLOOKUP(LARGE('[1]Top25CCHS'!$A$5:$A$308,17),'[1]Top25CCHS'!$A$5:$P$308,9,FALSE)*100</f>
        <v>0</v>
      </c>
      <c r="J19" s="14">
        <f>VLOOKUP(LARGE('[1]Top25CCHS'!$A$5:$A$308,17),'[1]Top25CCHS'!$A$5:$P$308,5,FALSE)/VLOOKUP(LARGE('[1]Top25CCHS'!$A$5:$A$308,17),'[1]Top25CCHS'!$A$5:$P$308,9,FALSE)*100</f>
        <v>5.729166666666666</v>
      </c>
      <c r="K19" s="14">
        <f>VLOOKUP(LARGE('[1]Top25CCHS'!$A$5:$A$308,17),'[1]Top25CCHS'!$A$5:$P$308,6,FALSE)/VLOOKUP(LARGE('[1]Top25CCHS'!$A$5:$A$308,17),'[1]Top25CCHS'!$A$5:$P$308,9,FALSE)*100</f>
        <v>44.44444444444444</v>
      </c>
      <c r="L19" s="14">
        <f>VLOOKUP(LARGE('[1]Top25CCHS'!$A$5:$A$308,17),'[1]Top25CCHS'!$A$5:$P$308,7,FALSE)/VLOOKUP(LARGE('[1]Top25CCHS'!$A$5:$A$308,17),'[1]Top25CCHS'!$A$5:$P$308,9,FALSE)*100</f>
        <v>49.82638888888889</v>
      </c>
    </row>
    <row r="20" spans="1:12" ht="11.25">
      <c r="A20" s="8" t="str">
        <f>VLOOKUP(LARGE('[1]Top25CCHS'!$A$5:$C$308,18),'[1]Top25CCHS'!$A$5:$C$308,3,FALSE)</f>
        <v>RENAL FAILURE                                                                     </v>
      </c>
      <c r="B20" s="9">
        <f>VLOOKUP(LARGE('[1]Top25CCHS'!$A$5:$C$308,18),'[1]Top25CCHS'!$A$5:$C$308,1,FALSE)</f>
        <v>573</v>
      </c>
      <c r="C20" s="10">
        <f>VLOOKUP(LARGE('[1]Top25CCHS'!$A$5:$C$308,18),'[1]Top25CCHS'!$A$5:$C$308,1,FALSE)/'[1]Top25CCHS'!$I$309*100</f>
        <v>1.9956812482585677</v>
      </c>
      <c r="D20" s="10">
        <f>(VLOOKUP(LARGE('[1]Top25CCHS'!$A$5:$C$308,18),'[1]Top25CCHS'!$A$5:$C$308,1,FALSE)/'[1]Top25CCHS'!$I$310*100)</f>
        <v>0.9789182355554036</v>
      </c>
      <c r="E20" s="10">
        <f>VLOOKUP(LARGE('[1]Top25CCHS'!$A$5:$A$308,18),'[1]Top25CCHS'!$A$5:$P$308,14,FALSE)</f>
        <v>5.8</v>
      </c>
      <c r="F20" s="11">
        <f>VLOOKUP(LARGE('[1]Top25CCHS'!$A$5:$A$308,18),'[1]Top25CCHS'!$A$5:$P$308,15,FALSE)</f>
        <v>19155.23</v>
      </c>
      <c r="G20" s="12">
        <f>VLOOKUP(LARGE('[1]Top25CCHS'!$A$5:$A$308,18),'[1]Top25CCHS'!$A$5:$P$308,10,FALSE)/VLOOKUP(LARGE('[1]Top25CCHS'!$A$5:$A$308,18),'[1]Top25CCHS'!$A$5:$P$308,13,FALSE)*100</f>
        <v>50.26178010471204</v>
      </c>
      <c r="H20" s="13">
        <f>VLOOKUP(LARGE('[1]Top25CCHS'!$A$5:$A$308,18),'[1]Top25CCHS'!$A$5:$P$308,11,FALSE)/VLOOKUP(LARGE('[1]Top25CCHS'!$A$5:$A$308,18),'[1]Top25CCHS'!$A$5:$P$308,13,FALSE)*100</f>
        <v>49.73821989528796</v>
      </c>
      <c r="I20" s="12">
        <f>VLOOKUP(LARGE('[1]Top25CCHS'!$A$5:$A$308,18),'[1]Top25CCHS'!$A$5:$P$308,4,FALSE)/VLOOKUP(LARGE('[1]Top25CCHS'!$A$5:$A$308,18),'[1]Top25CCHS'!$A$5:$P$308,9,FALSE)*100</f>
        <v>0.17452006980802792</v>
      </c>
      <c r="J20" s="14">
        <f>VLOOKUP(LARGE('[1]Top25CCHS'!$A$5:$A$308,18),'[1]Top25CCHS'!$A$5:$P$308,5,FALSE)/VLOOKUP(LARGE('[1]Top25CCHS'!$A$5:$A$308,18),'[1]Top25CCHS'!$A$5:$P$308,9,FALSE)*100</f>
        <v>8.37696335078534</v>
      </c>
      <c r="K20" s="14">
        <f>VLOOKUP(LARGE('[1]Top25CCHS'!$A$5:$A$308,18),'[1]Top25CCHS'!$A$5:$P$308,6,FALSE)/VLOOKUP(LARGE('[1]Top25CCHS'!$A$5:$A$308,18),'[1]Top25CCHS'!$A$5:$P$308,9,FALSE)*100</f>
        <v>28.097731239092493</v>
      </c>
      <c r="L20" s="14">
        <f>VLOOKUP(LARGE('[1]Top25CCHS'!$A$5:$A$308,18),'[1]Top25CCHS'!$A$5:$P$308,7,FALSE)/VLOOKUP(LARGE('[1]Top25CCHS'!$A$5:$A$308,18),'[1]Top25CCHS'!$A$5:$P$308,9,FALSE)*100</f>
        <v>63.35078534031413</v>
      </c>
    </row>
    <row r="21" spans="1:12" ht="11.25">
      <c r="A21" s="8" t="str">
        <f>VLOOKUP(LARGE('[1]Top25CCHS'!$A$5:$C$308,19),'[1]Top25CCHS'!$A$5:$C$308,3,FALSE)</f>
        <v>OTHER VASCULAR PROCEDURES                                                         </v>
      </c>
      <c r="B21" s="9">
        <f>VLOOKUP(LARGE('[1]Top25CCHS'!$A$5:$C$308,19),'[1]Top25CCHS'!$A$5:$C$308,1,FALSE)</f>
        <v>537</v>
      </c>
      <c r="C21" s="10">
        <f>VLOOKUP(LARGE('[1]Top25CCHS'!$A$5:$C$308,19),'[1]Top25CCHS'!$A$5:$C$308,1,FALSE)/'[1]Top25CCHS'!$I$309*100</f>
        <v>1.870298133184731</v>
      </c>
      <c r="D21" s="10">
        <f>(VLOOKUP(LARGE('[1]Top25CCHS'!$A$5:$C$308,19),'[1]Top25CCHS'!$A$5:$C$308,1,FALSE)/'[1]Top25CCHS'!$I$310*100)</f>
        <v>0.9174155191854306</v>
      </c>
      <c r="E21" s="10">
        <f>VLOOKUP(LARGE('[1]Top25CCHS'!$A$5:$A$308,19),'[1]Top25CCHS'!$A$5:$P$308,14,FALSE)</f>
        <v>5.7</v>
      </c>
      <c r="F21" s="11">
        <f>VLOOKUP(LARGE('[1]Top25CCHS'!$A$5:$A$308,19),'[1]Top25CCHS'!$A$5:$P$308,15,FALSE)</f>
        <v>52577.76</v>
      </c>
      <c r="G21" s="12">
        <f>VLOOKUP(LARGE('[1]Top25CCHS'!$A$5:$A$308,19),'[1]Top25CCHS'!$A$5:$P$308,10,FALSE)/VLOOKUP(LARGE('[1]Top25CCHS'!$A$5:$A$308,19),'[1]Top25CCHS'!$A$5:$P$308,13,FALSE)*100</f>
        <v>58.659217877094974</v>
      </c>
      <c r="H21" s="13">
        <f>VLOOKUP(LARGE('[1]Top25CCHS'!$A$5:$A$308,19),'[1]Top25CCHS'!$A$5:$P$308,11,FALSE)/VLOOKUP(LARGE('[1]Top25CCHS'!$A$5:$A$308,19),'[1]Top25CCHS'!$A$5:$P$308,13,FALSE)*100</f>
        <v>41.340782122905026</v>
      </c>
      <c r="I21" s="12">
        <f>VLOOKUP(LARGE('[1]Top25CCHS'!$A$5:$A$308,19),'[1]Top25CCHS'!$A$5:$P$308,4,FALSE)/VLOOKUP(LARGE('[1]Top25CCHS'!$A$5:$A$308,19),'[1]Top25CCHS'!$A$5:$P$308,9,FALSE)*100</f>
        <v>0.186219739292365</v>
      </c>
      <c r="J21" s="14">
        <f>VLOOKUP(LARGE('[1]Top25CCHS'!$A$5:$A$308,19),'[1]Top25CCHS'!$A$5:$P$308,5,FALSE)/VLOOKUP(LARGE('[1]Top25CCHS'!$A$5:$A$308,19),'[1]Top25CCHS'!$A$5:$P$308,9,FALSE)*100</f>
        <v>5.95903165735568</v>
      </c>
      <c r="K21" s="14">
        <f>VLOOKUP(LARGE('[1]Top25CCHS'!$A$5:$A$308,19),'[1]Top25CCHS'!$A$5:$P$308,6,FALSE)/VLOOKUP(LARGE('[1]Top25CCHS'!$A$5:$A$308,19),'[1]Top25CCHS'!$A$5:$P$308,9,FALSE)*100</f>
        <v>35.19553072625698</v>
      </c>
      <c r="L21" s="14">
        <f>VLOOKUP(LARGE('[1]Top25CCHS'!$A$5:$A$308,19),'[1]Top25CCHS'!$A$5:$P$308,7,FALSE)/VLOOKUP(LARGE('[1]Top25CCHS'!$A$5:$A$308,19),'[1]Top25CCHS'!$A$5:$P$308,9,FALSE)*100</f>
        <v>58.659217877094974</v>
      </c>
    </row>
    <row r="22" spans="1:12" ht="11.25">
      <c r="A22" s="8" t="str">
        <f>VLOOKUP(LARGE('[1]Top25CCHS'!$A$5:$C$308,20),'[1]Top25CCHS'!$A$5:$C$308,3,FALSE)</f>
        <v>OTHER BACK &amp; NECK DISORDERS, FRACTURES &amp; INJURIES                                 </v>
      </c>
      <c r="B22" s="9">
        <f>VLOOKUP(LARGE('[1]Top25CCHS'!$A$5:$C$308,20),'[1]Top25CCHS'!$A$5:$C$308,1,FALSE)</f>
        <v>532</v>
      </c>
      <c r="C22" s="10">
        <f>VLOOKUP(LARGE('[1]Top25CCHS'!$A$5:$C$308,20),'[1]Top25CCHS'!$A$5:$C$308,1,FALSE)/'[1]Top25CCHS'!$I$309*100</f>
        <v>1.8528838116466981</v>
      </c>
      <c r="D22" s="10">
        <f>(VLOOKUP(LARGE('[1]Top25CCHS'!$A$5:$C$308,20),'[1]Top25CCHS'!$A$5:$C$308,1,FALSE)/'[1]Top25CCHS'!$I$310*100)</f>
        <v>0.9088734752451567</v>
      </c>
      <c r="E22" s="10">
        <f>VLOOKUP(LARGE('[1]Top25CCHS'!$A$5:$A$308,20),'[1]Top25CCHS'!$A$5:$P$308,14,FALSE)</f>
        <v>4.6</v>
      </c>
      <c r="F22" s="11">
        <f>VLOOKUP(LARGE('[1]Top25CCHS'!$A$5:$A$308,20),'[1]Top25CCHS'!$A$5:$P$308,15,FALSE)</f>
        <v>14280.56</v>
      </c>
      <c r="G22" s="12">
        <f>VLOOKUP(LARGE('[1]Top25CCHS'!$A$5:$A$308,20),'[1]Top25CCHS'!$A$5:$P$308,10,FALSE)/VLOOKUP(LARGE('[1]Top25CCHS'!$A$5:$A$308,20),'[1]Top25CCHS'!$A$5:$P$308,13,FALSE)*100</f>
        <v>43.609022556390975</v>
      </c>
      <c r="H22" s="13">
        <f>VLOOKUP(LARGE('[1]Top25CCHS'!$A$5:$A$308,20),'[1]Top25CCHS'!$A$5:$P$308,11,FALSE)/VLOOKUP(LARGE('[1]Top25CCHS'!$A$5:$A$308,20),'[1]Top25CCHS'!$A$5:$P$308,13,FALSE)*100</f>
        <v>56.390977443609025</v>
      </c>
      <c r="I22" s="12">
        <f>VLOOKUP(LARGE('[1]Top25CCHS'!$A$5:$A$308,20),'[1]Top25CCHS'!$A$5:$P$308,4,FALSE)/VLOOKUP(LARGE('[1]Top25CCHS'!$A$5:$A$308,20),'[1]Top25CCHS'!$A$5:$P$308,9,FALSE)*100</f>
        <v>0.7518796992481203</v>
      </c>
      <c r="J22" s="14">
        <f>VLOOKUP(LARGE('[1]Top25CCHS'!$A$5:$A$308,20),'[1]Top25CCHS'!$A$5:$P$308,5,FALSE)/VLOOKUP(LARGE('[1]Top25CCHS'!$A$5:$A$308,20),'[1]Top25CCHS'!$A$5:$P$308,9,FALSE)*100</f>
        <v>20.48872180451128</v>
      </c>
      <c r="K22" s="14">
        <f>VLOOKUP(LARGE('[1]Top25CCHS'!$A$5:$A$308,20),'[1]Top25CCHS'!$A$5:$P$308,6,FALSE)/VLOOKUP(LARGE('[1]Top25CCHS'!$A$5:$A$308,20),'[1]Top25CCHS'!$A$5:$P$308,9,FALSE)*100</f>
        <v>28.383458646616543</v>
      </c>
      <c r="L22" s="14">
        <f>VLOOKUP(LARGE('[1]Top25CCHS'!$A$5:$A$308,20),'[1]Top25CCHS'!$A$5:$P$308,7,FALSE)/VLOOKUP(LARGE('[1]Top25CCHS'!$A$5:$A$308,20),'[1]Top25CCHS'!$A$5:$P$308,9,FALSE)*100</f>
        <v>50.37593984962406</v>
      </c>
    </row>
    <row r="23" spans="1:12" ht="11.25">
      <c r="A23" s="8" t="str">
        <f>VLOOKUP(LARGE('[1]Top25CCHS'!$A$5:$C$308,21),'[1]Top25CCHS'!$A$5:$C$308,3,FALSE)</f>
        <v>SYNCOPE &amp; COLLAPSE                                                                </v>
      </c>
      <c r="B23" s="9">
        <f>VLOOKUP(LARGE('[1]Top25CCHS'!$A$5:$C$308,21),'[1]Top25CCHS'!$A$5:$C$308,1,FALSE)</f>
        <v>516</v>
      </c>
      <c r="C23" s="10">
        <f>VLOOKUP(LARGE('[1]Top25CCHS'!$A$5:$C$308,21),'[1]Top25CCHS'!$A$5:$C$308,1,FALSE)/'[1]Top25CCHS'!$I$309*100</f>
        <v>1.797157982724993</v>
      </c>
      <c r="D23" s="10">
        <f>(VLOOKUP(LARGE('[1]Top25CCHS'!$A$5:$C$308,21),'[1]Top25CCHS'!$A$5:$C$308,1,FALSE)/'[1]Top25CCHS'!$I$310*100)</f>
        <v>0.8815389346362797</v>
      </c>
      <c r="E23" s="10">
        <f>VLOOKUP(LARGE('[1]Top25CCHS'!$A$5:$A$308,21),'[1]Top25CCHS'!$A$5:$P$308,14,FALSE)</f>
        <v>3.1</v>
      </c>
      <c r="F23" s="11">
        <f>VLOOKUP(LARGE('[1]Top25CCHS'!$A$5:$A$308,21),'[1]Top25CCHS'!$A$5:$P$308,15,FALSE)</f>
        <v>12860.78</v>
      </c>
      <c r="G23" s="12">
        <f>VLOOKUP(LARGE('[1]Top25CCHS'!$A$5:$A$308,21),'[1]Top25CCHS'!$A$5:$P$308,10,FALSE)/VLOOKUP(LARGE('[1]Top25CCHS'!$A$5:$A$308,21),'[1]Top25CCHS'!$A$5:$P$308,13,FALSE)*100</f>
        <v>46.12403100775194</v>
      </c>
      <c r="H23" s="13">
        <f>VLOOKUP(LARGE('[1]Top25CCHS'!$A$5:$A$308,21),'[1]Top25CCHS'!$A$5:$P$308,11,FALSE)/VLOOKUP(LARGE('[1]Top25CCHS'!$A$5:$A$308,21),'[1]Top25CCHS'!$A$5:$P$308,13,FALSE)*100</f>
        <v>53.875968992248055</v>
      </c>
      <c r="I23" s="12">
        <f>VLOOKUP(LARGE('[1]Top25CCHS'!$A$5:$A$308,21),'[1]Top25CCHS'!$A$5:$P$308,4,FALSE)/VLOOKUP(LARGE('[1]Top25CCHS'!$A$5:$A$308,21),'[1]Top25CCHS'!$A$5:$P$308,9,FALSE)*100</f>
        <v>0.5813953488372093</v>
      </c>
      <c r="J23" s="14">
        <f>VLOOKUP(LARGE('[1]Top25CCHS'!$A$5:$A$308,21),'[1]Top25CCHS'!$A$5:$P$308,5,FALSE)/VLOOKUP(LARGE('[1]Top25CCHS'!$A$5:$A$308,21),'[1]Top25CCHS'!$A$5:$P$308,9,FALSE)*100</f>
        <v>6.395348837209303</v>
      </c>
      <c r="K23" s="14">
        <f>VLOOKUP(LARGE('[1]Top25CCHS'!$A$5:$A$308,21),'[1]Top25CCHS'!$A$5:$P$308,6,FALSE)/VLOOKUP(LARGE('[1]Top25CCHS'!$A$5:$A$308,21),'[1]Top25CCHS'!$A$5:$P$308,9,FALSE)*100</f>
        <v>22.868217054263564</v>
      </c>
      <c r="L23" s="14">
        <f>VLOOKUP(LARGE('[1]Top25CCHS'!$A$5:$A$308,21),'[1]Top25CCHS'!$A$5:$P$308,7,FALSE)/VLOOKUP(LARGE('[1]Top25CCHS'!$A$5:$A$308,21),'[1]Top25CCHS'!$A$5:$P$308,9,FALSE)*100</f>
        <v>70.15503875968993</v>
      </c>
    </row>
    <row r="24" spans="1:12" ht="11.25">
      <c r="A24" s="8" t="str">
        <f>VLOOKUP(LARGE('[1]Top25CCHS'!$A$5:$C$308,22),'[1]Top25CCHS'!$A$5:$C$308,3,FALSE)</f>
        <v>DIABETES                                                                          </v>
      </c>
      <c r="B24" s="9">
        <f>VLOOKUP(LARGE('[1]Top25CCHS'!$A$5:$C$308,22),'[1]Top25CCHS'!$A$5:$C$308,1,FALSE)</f>
        <v>505</v>
      </c>
      <c r="C24" s="10">
        <f>VLOOKUP(LARGE('[1]Top25CCHS'!$A$5:$C$308,22),'[1]Top25CCHS'!$A$5:$C$308,1,FALSE)/'[1]Top25CCHS'!$I$309*100</f>
        <v>1.7588464753413209</v>
      </c>
      <c r="D24" s="10">
        <f>(VLOOKUP(LARGE('[1]Top25CCHS'!$A$5:$C$308,22),'[1]Top25CCHS'!$A$5:$C$308,1,FALSE)/'[1]Top25CCHS'!$I$310*100)</f>
        <v>0.8627464379676769</v>
      </c>
      <c r="E24" s="10">
        <f>VLOOKUP(LARGE('[1]Top25CCHS'!$A$5:$A$308,22),'[1]Top25CCHS'!$A$5:$P$308,14,FALSE)</f>
        <v>3.3</v>
      </c>
      <c r="F24" s="11">
        <f>VLOOKUP(LARGE('[1]Top25CCHS'!$A$5:$A$308,22),'[1]Top25CCHS'!$A$5:$P$308,15,FALSE)</f>
        <v>11766.45</v>
      </c>
      <c r="G24" s="12">
        <f>VLOOKUP(LARGE('[1]Top25CCHS'!$A$5:$A$308,22),'[1]Top25CCHS'!$A$5:$P$308,10,FALSE)/VLOOKUP(LARGE('[1]Top25CCHS'!$A$5:$A$308,22),'[1]Top25CCHS'!$A$5:$P$308,13,FALSE)*100</f>
        <v>48.91089108910891</v>
      </c>
      <c r="H24" s="13">
        <f>VLOOKUP(LARGE('[1]Top25CCHS'!$A$5:$A$308,22),'[1]Top25CCHS'!$A$5:$P$308,11,FALSE)/VLOOKUP(LARGE('[1]Top25CCHS'!$A$5:$A$308,22),'[1]Top25CCHS'!$A$5:$P$308,13,FALSE)*100</f>
        <v>51.08910891089109</v>
      </c>
      <c r="I24" s="12">
        <f>VLOOKUP(LARGE('[1]Top25CCHS'!$A$5:$A$308,22),'[1]Top25CCHS'!$A$5:$P$308,4,FALSE)/VLOOKUP(LARGE('[1]Top25CCHS'!$A$5:$A$308,22),'[1]Top25CCHS'!$A$5:$P$308,9,FALSE)*100</f>
        <v>0.39603960396039606</v>
      </c>
      <c r="J24" s="14">
        <f>VLOOKUP(LARGE('[1]Top25CCHS'!$A$5:$A$308,22),'[1]Top25CCHS'!$A$5:$P$308,5,FALSE)/VLOOKUP(LARGE('[1]Top25CCHS'!$A$5:$A$308,22),'[1]Top25CCHS'!$A$5:$P$308,9,FALSE)*100</f>
        <v>32.07920792079208</v>
      </c>
      <c r="K24" s="14">
        <f>VLOOKUP(LARGE('[1]Top25CCHS'!$A$5:$A$308,22),'[1]Top25CCHS'!$A$5:$P$308,6,FALSE)/VLOOKUP(LARGE('[1]Top25CCHS'!$A$5:$A$308,22),'[1]Top25CCHS'!$A$5:$P$308,9,FALSE)*100</f>
        <v>40.396039603960396</v>
      </c>
      <c r="L24" s="14">
        <f>VLOOKUP(LARGE('[1]Top25CCHS'!$A$5:$A$308,22),'[1]Top25CCHS'!$A$5:$P$308,7,FALSE)/VLOOKUP(LARGE('[1]Top25CCHS'!$A$5:$A$308,22),'[1]Top25CCHS'!$A$5:$P$308,9,FALSE)*100</f>
        <v>27.12871287128713</v>
      </c>
    </row>
    <row r="25" spans="1:12" ht="11.25">
      <c r="A25" s="8" t="str">
        <f>VLOOKUP(LARGE('[1]Top25CCHS'!$A$5:$C$308,23),'[1]Top25CCHS'!$A$5:$C$308,3,FALSE)</f>
        <v>LAPAROSCOPIC CHOLECYSTECTOMY                                                      </v>
      </c>
      <c r="B25" s="9">
        <f>VLOOKUP(LARGE('[1]Top25CCHS'!$A$5:$C$308,23),'[1]Top25CCHS'!$A$5:$C$308,1,FALSE)</f>
        <v>503</v>
      </c>
      <c r="C25" s="10">
        <f>VLOOKUP(LARGE('[1]Top25CCHS'!$A$5:$C$308,23),'[1]Top25CCHS'!$A$5:$C$308,1,FALSE)/'[1]Top25CCHS'!$I$309*100</f>
        <v>1.7518807467261075</v>
      </c>
      <c r="D25" s="10">
        <f>(VLOOKUP(LARGE('[1]Top25CCHS'!$A$5:$C$308,23),'[1]Top25CCHS'!$A$5:$C$308,1,FALSE)/'[1]Top25CCHS'!$I$310*100)</f>
        <v>0.8593296203915672</v>
      </c>
      <c r="E25" s="10">
        <f>VLOOKUP(LARGE('[1]Top25CCHS'!$A$5:$A$308,23),'[1]Top25CCHS'!$A$5:$P$308,14,FALSE)</f>
        <v>3.3</v>
      </c>
      <c r="F25" s="11">
        <f>VLOOKUP(LARGE('[1]Top25CCHS'!$A$5:$A$308,23),'[1]Top25CCHS'!$A$5:$P$308,15,FALSE)</f>
        <v>18441.96</v>
      </c>
      <c r="G25" s="12">
        <f>VLOOKUP(LARGE('[1]Top25CCHS'!$A$5:$A$308,23),'[1]Top25CCHS'!$A$5:$P$308,10,FALSE)/VLOOKUP(LARGE('[1]Top25CCHS'!$A$5:$A$308,23),'[1]Top25CCHS'!$A$5:$P$308,13,FALSE)*100</f>
        <v>26.44135188866799</v>
      </c>
      <c r="H25" s="13">
        <f>VLOOKUP(LARGE('[1]Top25CCHS'!$A$5:$A$308,23),'[1]Top25CCHS'!$A$5:$P$308,11,FALSE)/VLOOKUP(LARGE('[1]Top25CCHS'!$A$5:$A$308,23),'[1]Top25CCHS'!$A$5:$P$308,13,FALSE)*100</f>
        <v>73.558648111332</v>
      </c>
      <c r="I25" s="12">
        <f>VLOOKUP(LARGE('[1]Top25CCHS'!$A$5:$A$308,23),'[1]Top25CCHS'!$A$5:$P$308,4,FALSE)/VLOOKUP(LARGE('[1]Top25CCHS'!$A$5:$A$308,23),'[1]Top25CCHS'!$A$5:$P$308,9,FALSE)*100</f>
        <v>0.3976143141153081</v>
      </c>
      <c r="J25" s="14">
        <f>VLOOKUP(LARGE('[1]Top25CCHS'!$A$5:$A$308,23),'[1]Top25CCHS'!$A$5:$P$308,5,FALSE)/VLOOKUP(LARGE('[1]Top25CCHS'!$A$5:$A$308,23),'[1]Top25CCHS'!$A$5:$P$308,9,FALSE)*100</f>
        <v>43.93638170974155</v>
      </c>
      <c r="K25" s="14">
        <f>VLOOKUP(LARGE('[1]Top25CCHS'!$A$5:$A$308,23),'[1]Top25CCHS'!$A$5:$P$308,6,FALSE)/VLOOKUP(LARGE('[1]Top25CCHS'!$A$5:$A$308,23),'[1]Top25CCHS'!$A$5:$P$308,9,FALSE)*100</f>
        <v>33.99602385685885</v>
      </c>
      <c r="L25" s="14">
        <f>VLOOKUP(LARGE('[1]Top25CCHS'!$A$5:$A$308,23),'[1]Top25CCHS'!$A$5:$P$308,7,FALSE)/VLOOKUP(LARGE('[1]Top25CCHS'!$A$5:$A$308,23),'[1]Top25CCHS'!$A$5:$P$308,9,FALSE)*100</f>
        <v>21.669980119284293</v>
      </c>
    </row>
    <row r="26" spans="1:12" ht="11.25">
      <c r="A26" s="8" t="str">
        <f>VLOOKUP(LARGE('[1]Top25CCHS'!$A$5:$C$308,24),'[1]Top25CCHS'!$A$5:$C$308,3,FALSE)</f>
        <v>OTHER DIGESTIVE SYSTEM DIAGNOSES                                                  </v>
      </c>
      <c r="B26" s="9">
        <f>VLOOKUP(LARGE('[1]Top25CCHS'!$A$5:$C$308,24),'[1]Top25CCHS'!$A$5:$C$308,1,FALSE)</f>
        <v>493</v>
      </c>
      <c r="C26" s="10">
        <f>VLOOKUP(LARGE('[1]Top25CCHS'!$A$5:$C$308,24),'[1]Top25CCHS'!$A$5:$C$308,1,FALSE)/'[1]Top25CCHS'!$I$309*100</f>
        <v>1.717052103650042</v>
      </c>
      <c r="D26" s="10">
        <f>(VLOOKUP(LARGE('[1]Top25CCHS'!$A$5:$C$308,24),'[1]Top25CCHS'!$A$5:$C$308,1,FALSE)/'[1]Top25CCHS'!$I$310*100)</f>
        <v>0.8422455325110193</v>
      </c>
      <c r="E26" s="10">
        <f>VLOOKUP(LARGE('[1]Top25CCHS'!$A$5:$A$308,24),'[1]Top25CCHS'!$A$5:$P$308,14,FALSE)</f>
        <v>4.3</v>
      </c>
      <c r="F26" s="11">
        <f>VLOOKUP(LARGE('[1]Top25CCHS'!$A$5:$A$308,24),'[1]Top25CCHS'!$A$5:$P$308,15,FALSE)</f>
        <v>14102.19</v>
      </c>
      <c r="G26" s="12">
        <f>VLOOKUP(LARGE('[1]Top25CCHS'!$A$5:$A$308,24),'[1]Top25CCHS'!$A$5:$P$308,10,FALSE)/VLOOKUP(LARGE('[1]Top25CCHS'!$A$5:$A$308,24),'[1]Top25CCHS'!$A$5:$P$308,13,FALSE)*100</f>
        <v>39.350912778904664</v>
      </c>
      <c r="H26" s="13">
        <f>VLOOKUP(LARGE('[1]Top25CCHS'!$A$5:$A$308,24),'[1]Top25CCHS'!$A$5:$P$308,11,FALSE)/VLOOKUP(LARGE('[1]Top25CCHS'!$A$5:$A$308,24),'[1]Top25CCHS'!$A$5:$P$308,13,FALSE)*100</f>
        <v>60.649087221095336</v>
      </c>
      <c r="I26" s="12">
        <f>VLOOKUP(LARGE('[1]Top25CCHS'!$A$5:$A$308,24),'[1]Top25CCHS'!$A$5:$P$308,4,FALSE)/VLOOKUP(LARGE('[1]Top25CCHS'!$A$5:$A$308,24),'[1]Top25CCHS'!$A$5:$P$308,9,FALSE)*100</f>
        <v>0.4056795131845842</v>
      </c>
      <c r="J26" s="14">
        <f>VLOOKUP(LARGE('[1]Top25CCHS'!$A$5:$A$308,24),'[1]Top25CCHS'!$A$5:$P$308,5,FALSE)/VLOOKUP(LARGE('[1]Top25CCHS'!$A$5:$A$308,24),'[1]Top25CCHS'!$A$5:$P$308,9,FALSE)*100</f>
        <v>27.180527383367142</v>
      </c>
      <c r="K26" s="14">
        <f>VLOOKUP(LARGE('[1]Top25CCHS'!$A$5:$A$308,24),'[1]Top25CCHS'!$A$5:$P$308,6,FALSE)/VLOOKUP(LARGE('[1]Top25CCHS'!$A$5:$A$308,24),'[1]Top25CCHS'!$A$5:$P$308,9,FALSE)*100</f>
        <v>31.44016227180527</v>
      </c>
      <c r="L26" s="14">
        <f>VLOOKUP(LARGE('[1]Top25CCHS'!$A$5:$A$308,24),'[1]Top25CCHS'!$A$5:$P$308,7,FALSE)/VLOOKUP(LARGE('[1]Top25CCHS'!$A$5:$A$308,24),'[1]Top25CCHS'!$A$5:$P$308,9,FALSE)*100</f>
        <v>40.97363083164301</v>
      </c>
    </row>
    <row r="27" spans="1:12" ht="12" thickBot="1">
      <c r="A27" s="15" t="str">
        <f>VLOOKUP(LARGE('[1]Top25CCHS'!$A$5:$C$308,25),'[1]Top25CCHS'!$A$5:$C$308,3,FALSE)</f>
        <v>OTHER ANTEPARTUM DIAGNOSES                                                        </v>
      </c>
      <c r="B27" s="16">
        <f>VLOOKUP(LARGE('[1]Top25CCHS'!$A$5:$C$308,25),'[1]Top25CCHS'!$A$5:$C$308,1,FALSE)</f>
        <v>459</v>
      </c>
      <c r="C27" s="17">
        <f>VLOOKUP(LARGE('[1]Top25CCHS'!$A$5:$C$308,25),'[1]Top25CCHS'!$A$5:$C$308,1,FALSE)/'[1]Top25CCHS'!$I$309*100</f>
        <v>1.5986347171914181</v>
      </c>
      <c r="D27" s="17">
        <f>(VLOOKUP(LARGE('[1]Top25CCHS'!$A$5:$C$308,25),'[1]Top25CCHS'!$A$5:$C$308,1,FALSE)/'[1]Top25CCHS'!$I$310*100)</f>
        <v>0.7841596337171559</v>
      </c>
      <c r="E27" s="17">
        <f>VLOOKUP(LARGE('[1]Top25CCHS'!$A$5:$A$308,25),'[1]Top25CCHS'!$A$5:$P$308,14,FALSE)</f>
        <v>4.1</v>
      </c>
      <c r="F27" s="18">
        <f>VLOOKUP(LARGE('[1]Top25CCHS'!$A$5:$A$308,25),'[1]Top25CCHS'!$A$5:$P$308,15,FALSE)</f>
        <v>7077.9</v>
      </c>
      <c r="G27" s="19">
        <f>VLOOKUP(LARGE('[1]Top25CCHS'!$A$5:$A$308,25),'[1]Top25CCHS'!$A$5:$P$308,10,FALSE)/VLOOKUP(LARGE('[1]Top25CCHS'!$A$5:$A$308,25),'[1]Top25CCHS'!$A$5:$P$308,13,FALSE)*100</f>
        <v>0</v>
      </c>
      <c r="H27" s="20">
        <f>VLOOKUP(LARGE('[1]Top25CCHS'!$A$5:$A$308,25),'[1]Top25CCHS'!$A$5:$P$308,11,FALSE)/VLOOKUP(LARGE('[1]Top25CCHS'!$A$5:$A$308,25),'[1]Top25CCHS'!$A$5:$P$308,13,FALSE)*100</f>
        <v>100</v>
      </c>
      <c r="I27" s="19">
        <f>VLOOKUP(LARGE('[1]Top25CCHS'!$A$5:$A$308,25),'[1]Top25CCHS'!$A$5:$P$308,4,FALSE)/VLOOKUP(LARGE('[1]Top25CCHS'!$A$5:$A$308,25),'[1]Top25CCHS'!$A$5:$P$308,9,FALSE)*100</f>
        <v>3.485838779956427</v>
      </c>
      <c r="J27" s="21">
        <f>VLOOKUP(LARGE('[1]Top25CCHS'!$A$5:$A$308,25),'[1]Top25CCHS'!$A$5:$P$308,5,FALSE)/VLOOKUP(LARGE('[1]Top25CCHS'!$A$5:$A$308,25),'[1]Top25CCHS'!$A$5:$P$308,9,FALSE)*100</f>
        <v>96.51416122004358</v>
      </c>
      <c r="K27" s="21">
        <f>VLOOKUP(LARGE('[1]Top25CCHS'!$A$5:$A$308,25),'[1]Top25CCHS'!$A$5:$P$308,6,FALSE)/VLOOKUP(LARGE('[1]Top25CCHS'!$A$5:$A$308,25),'[1]Top25CCHS'!$A$5:$P$308,9,FALSE)*100</f>
        <v>0</v>
      </c>
      <c r="L27" s="21">
        <f>VLOOKUP(LARGE('[1]Top25CCHS'!$A$5:$A$308,25),'[1]Top25CCHS'!$A$5:$P$308,7,FALSE)/VLOOKUP(LARGE('[1]Top25CCHS'!$A$5:$A$308,25),'[1]Top25CCHS'!$A$5:$P$308,9,FALSE)*100</f>
        <v>0</v>
      </c>
    </row>
    <row r="28" spans="3:10" ht="11.25">
      <c r="C28" s="22"/>
      <c r="D28" s="22"/>
      <c r="E28" s="22"/>
      <c r="F28" s="23"/>
      <c r="G28" s="22"/>
      <c r="H28" s="22"/>
      <c r="I28" s="22"/>
      <c r="J28" s="22"/>
    </row>
    <row r="32" spans="1:12" ht="11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1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1.25">
      <c r="A35" s="8"/>
      <c r="B35" s="8"/>
      <c r="C35" s="14"/>
      <c r="D35" s="14"/>
      <c r="E35" s="14"/>
      <c r="F35" s="27"/>
      <c r="G35" s="14"/>
      <c r="H35" s="14"/>
      <c r="I35" s="14"/>
      <c r="J35" s="14"/>
      <c r="K35" s="14"/>
      <c r="L35" s="14"/>
    </row>
    <row r="36" spans="1:12" ht="11.25">
      <c r="A36" s="8"/>
      <c r="B36" s="8"/>
      <c r="C36" s="14"/>
      <c r="D36" s="14"/>
      <c r="E36" s="14"/>
      <c r="F36" s="27"/>
      <c r="G36" s="14"/>
      <c r="H36" s="14"/>
      <c r="I36" s="14"/>
      <c r="J36" s="14"/>
      <c r="K36" s="14"/>
      <c r="L36" s="14"/>
    </row>
    <row r="37" spans="1:12" ht="11.25">
      <c r="A37" s="8"/>
      <c r="B37" s="8"/>
      <c r="C37" s="14"/>
      <c r="D37" s="14"/>
      <c r="E37" s="14"/>
      <c r="F37" s="27"/>
      <c r="G37" s="14"/>
      <c r="H37" s="14"/>
      <c r="I37" s="14"/>
      <c r="J37" s="14"/>
      <c r="K37" s="14"/>
      <c r="L37" s="14"/>
    </row>
    <row r="38" spans="1:12" ht="11.25">
      <c r="A38" s="8"/>
      <c r="B38" s="8"/>
      <c r="C38" s="14"/>
      <c r="D38" s="14"/>
      <c r="E38" s="14"/>
      <c r="F38" s="27"/>
      <c r="G38" s="14"/>
      <c r="H38" s="14"/>
      <c r="I38" s="14"/>
      <c r="J38" s="14"/>
      <c r="K38" s="14"/>
      <c r="L38" s="14"/>
    </row>
    <row r="39" spans="1:12" ht="11.25">
      <c r="A39" s="8"/>
      <c r="B39" s="8"/>
      <c r="C39" s="14"/>
      <c r="D39" s="14"/>
      <c r="E39" s="14"/>
      <c r="F39" s="27"/>
      <c r="G39" s="14"/>
      <c r="H39" s="14"/>
      <c r="I39" s="14"/>
      <c r="J39" s="14"/>
      <c r="K39" s="14"/>
      <c r="L39" s="14"/>
    </row>
    <row r="40" spans="1:12" ht="11.25">
      <c r="A40" s="8"/>
      <c r="B40" s="8"/>
      <c r="C40" s="14"/>
      <c r="D40" s="14"/>
      <c r="E40" s="14"/>
      <c r="F40" s="27"/>
      <c r="G40" s="14"/>
      <c r="H40" s="14"/>
      <c r="I40" s="14"/>
      <c r="J40" s="14"/>
      <c r="K40" s="14"/>
      <c r="L40" s="14"/>
    </row>
    <row r="41" spans="1:12" ht="11.25">
      <c r="A41" s="8"/>
      <c r="B41" s="8"/>
      <c r="C41" s="14"/>
      <c r="D41" s="14"/>
      <c r="E41" s="14"/>
      <c r="F41" s="27"/>
      <c r="G41" s="14"/>
      <c r="H41" s="14"/>
      <c r="I41" s="14"/>
      <c r="J41" s="14"/>
      <c r="K41" s="14"/>
      <c r="L41" s="14"/>
    </row>
    <row r="42" spans="1:12" ht="11.25">
      <c r="A42" s="8"/>
      <c r="B42" s="8"/>
      <c r="C42" s="14"/>
      <c r="D42" s="14"/>
      <c r="E42" s="14"/>
      <c r="F42" s="27"/>
      <c r="G42" s="14"/>
      <c r="H42" s="14"/>
      <c r="I42" s="14"/>
      <c r="J42" s="14"/>
      <c r="K42" s="14"/>
      <c r="L42" s="14"/>
    </row>
    <row r="43" spans="1:12" ht="11.25">
      <c r="A43" s="8"/>
      <c r="B43" s="8"/>
      <c r="C43" s="14"/>
      <c r="D43" s="14"/>
      <c r="E43" s="14"/>
      <c r="F43" s="27"/>
      <c r="G43" s="14"/>
      <c r="H43" s="14"/>
      <c r="I43" s="14"/>
      <c r="J43" s="14"/>
      <c r="K43" s="14"/>
      <c r="L43" s="14"/>
    </row>
    <row r="44" spans="1:12" ht="11.25">
      <c r="A44" s="8"/>
      <c r="B44" s="8"/>
      <c r="C44" s="14"/>
      <c r="D44" s="14"/>
      <c r="E44" s="14"/>
      <c r="F44" s="27"/>
      <c r="G44" s="14"/>
      <c r="H44" s="14"/>
      <c r="I44" s="14"/>
      <c r="J44" s="14"/>
      <c r="K44" s="14"/>
      <c r="L44" s="14"/>
    </row>
    <row r="45" spans="1:12" ht="11.25">
      <c r="A45" s="8"/>
      <c r="B45" s="8"/>
      <c r="C45" s="14"/>
      <c r="D45" s="14"/>
      <c r="E45" s="14"/>
      <c r="F45" s="27"/>
      <c r="G45" s="14"/>
      <c r="H45" s="14"/>
      <c r="I45" s="14"/>
      <c r="J45" s="14"/>
      <c r="K45" s="14"/>
      <c r="L45" s="14"/>
    </row>
    <row r="46" spans="1:12" ht="11.25">
      <c r="A46" s="8"/>
      <c r="B46" s="8"/>
      <c r="C46" s="14"/>
      <c r="D46" s="14"/>
      <c r="E46" s="14"/>
      <c r="F46" s="27"/>
      <c r="G46" s="14"/>
      <c r="H46" s="14"/>
      <c r="I46" s="14"/>
      <c r="J46" s="14"/>
      <c r="K46" s="14"/>
      <c r="L46" s="14"/>
    </row>
    <row r="47" spans="1:12" ht="11.25">
      <c r="A47" s="8"/>
      <c r="B47" s="8"/>
      <c r="C47" s="14"/>
      <c r="D47" s="14"/>
      <c r="E47" s="14"/>
      <c r="F47" s="27"/>
      <c r="G47" s="14"/>
      <c r="H47" s="14"/>
      <c r="I47" s="14"/>
      <c r="J47" s="14"/>
      <c r="K47" s="14"/>
      <c r="L47" s="14"/>
    </row>
    <row r="48" spans="1:12" ht="11.25">
      <c r="A48" s="8"/>
      <c r="B48" s="8"/>
      <c r="C48" s="14"/>
      <c r="D48" s="14"/>
      <c r="E48" s="14"/>
      <c r="F48" s="27"/>
      <c r="G48" s="14"/>
      <c r="H48" s="14"/>
      <c r="I48" s="14"/>
      <c r="J48" s="14"/>
      <c r="K48" s="14"/>
      <c r="L48" s="14"/>
    </row>
    <row r="49" spans="1:12" ht="11.25">
      <c r="A49" s="8"/>
      <c r="B49" s="8"/>
      <c r="C49" s="14"/>
      <c r="D49" s="14"/>
      <c r="E49" s="14"/>
      <c r="F49" s="27"/>
      <c r="G49" s="14"/>
      <c r="H49" s="14"/>
      <c r="I49" s="14"/>
      <c r="J49" s="14"/>
      <c r="K49" s="14"/>
      <c r="L49" s="14"/>
    </row>
    <row r="50" spans="1:12" ht="11.25">
      <c r="A50" s="8"/>
      <c r="B50" s="8"/>
      <c r="C50" s="14"/>
      <c r="D50" s="14"/>
      <c r="E50" s="14"/>
      <c r="F50" s="27"/>
      <c r="G50" s="14"/>
      <c r="H50" s="14"/>
      <c r="I50" s="14"/>
      <c r="J50" s="14"/>
      <c r="K50" s="14"/>
      <c r="L50" s="14"/>
    </row>
    <row r="51" spans="1:12" ht="11.25">
      <c r="A51" s="8"/>
      <c r="B51" s="8"/>
      <c r="C51" s="14"/>
      <c r="D51" s="14"/>
      <c r="E51" s="14"/>
      <c r="F51" s="27"/>
      <c r="G51" s="14"/>
      <c r="H51" s="14"/>
      <c r="I51" s="14"/>
      <c r="J51" s="14"/>
      <c r="K51" s="14"/>
      <c r="L51" s="14"/>
    </row>
    <row r="52" spans="1:12" ht="11.25">
      <c r="A52" s="8"/>
      <c r="B52" s="8"/>
      <c r="C52" s="14"/>
      <c r="D52" s="14"/>
      <c r="E52" s="14"/>
      <c r="F52" s="27"/>
      <c r="G52" s="14"/>
      <c r="H52" s="14"/>
      <c r="I52" s="14"/>
      <c r="J52" s="14"/>
      <c r="K52" s="14"/>
      <c r="L52" s="14"/>
    </row>
    <row r="53" spans="1:12" ht="11.25">
      <c r="A53" s="8"/>
      <c r="B53" s="8"/>
      <c r="C53" s="14"/>
      <c r="D53" s="14"/>
      <c r="E53" s="14"/>
      <c r="F53" s="27"/>
      <c r="G53" s="14"/>
      <c r="H53" s="14"/>
      <c r="I53" s="14"/>
      <c r="J53" s="14"/>
      <c r="K53" s="14"/>
      <c r="L53" s="14"/>
    </row>
    <row r="54" spans="1:12" ht="11.25">
      <c r="A54" s="8"/>
      <c r="B54" s="8"/>
      <c r="C54" s="14"/>
      <c r="D54" s="14"/>
      <c r="E54" s="14"/>
      <c r="F54" s="27"/>
      <c r="G54" s="14"/>
      <c r="H54" s="14"/>
      <c r="I54" s="14"/>
      <c r="J54" s="14"/>
      <c r="K54" s="14"/>
      <c r="L54" s="14"/>
    </row>
    <row r="55" spans="1:12" ht="11.25">
      <c r="A55" s="8"/>
      <c r="B55" s="8"/>
      <c r="C55" s="14"/>
      <c r="D55" s="14"/>
      <c r="E55" s="14"/>
      <c r="F55" s="27"/>
      <c r="G55" s="14"/>
      <c r="H55" s="14"/>
      <c r="I55" s="14"/>
      <c r="J55" s="14"/>
      <c r="K55" s="14"/>
      <c r="L55" s="14"/>
    </row>
    <row r="56" spans="1:12" ht="11.25">
      <c r="A56" s="8"/>
      <c r="B56" s="8"/>
      <c r="C56" s="14"/>
      <c r="D56" s="14"/>
      <c r="E56" s="14"/>
      <c r="F56" s="27"/>
      <c r="G56" s="14"/>
      <c r="H56" s="14"/>
      <c r="I56" s="14"/>
      <c r="J56" s="14"/>
      <c r="K56" s="14"/>
      <c r="L56" s="14"/>
    </row>
    <row r="57" spans="1:12" ht="11.25">
      <c r="A57" s="8"/>
      <c r="B57" s="8"/>
      <c r="C57" s="14"/>
      <c r="D57" s="14"/>
      <c r="E57" s="14"/>
      <c r="F57" s="27"/>
      <c r="G57" s="14"/>
      <c r="H57" s="14"/>
      <c r="I57" s="14"/>
      <c r="J57" s="14"/>
      <c r="K57" s="14"/>
      <c r="L57" s="14"/>
    </row>
    <row r="58" spans="1:12" ht="11.25">
      <c r="A58" s="8"/>
      <c r="B58" s="8"/>
      <c r="C58" s="14"/>
      <c r="D58" s="14"/>
      <c r="E58" s="14"/>
      <c r="F58" s="27"/>
      <c r="G58" s="14"/>
      <c r="H58" s="14"/>
      <c r="I58" s="14"/>
      <c r="J58" s="14"/>
      <c r="K58" s="14"/>
      <c r="L58" s="14"/>
    </row>
    <row r="59" spans="1:12" ht="11.25">
      <c r="A59" s="8"/>
      <c r="B59" s="8"/>
      <c r="C59" s="14"/>
      <c r="D59" s="14"/>
      <c r="E59" s="14"/>
      <c r="F59" s="27"/>
      <c r="G59" s="14"/>
      <c r="H59" s="14"/>
      <c r="I59" s="14"/>
      <c r="J59" s="14"/>
      <c r="K59" s="14"/>
      <c r="L59" s="1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80.5" style="0" customWidth="1"/>
    <col min="2" max="2" width="6.16015625" style="0" customWidth="1"/>
    <col min="3" max="3" width="11" style="0" bestFit="1" customWidth="1"/>
    <col min="4" max="4" width="7.5" style="0" bestFit="1" customWidth="1"/>
    <col min="5" max="5" width="6" style="0" bestFit="1" customWidth="1"/>
    <col min="6" max="6" width="11.83203125" style="0" bestFit="1" customWidth="1"/>
    <col min="7" max="8" width="9.5" style="0" customWidth="1"/>
    <col min="9" max="12" width="6" style="0" customWidth="1"/>
  </cols>
  <sheetData>
    <row r="1" ht="13.5" thickBot="1">
      <c r="A1" s="1" t="s">
        <v>14</v>
      </c>
    </row>
    <row r="2" spans="1:13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4" t="s">
        <v>8</v>
      </c>
      <c r="J2" s="6" t="s">
        <v>9</v>
      </c>
      <c r="K2" s="6" t="s">
        <v>10</v>
      </c>
      <c r="L2" s="6" t="s">
        <v>11</v>
      </c>
      <c r="M2" s="7"/>
    </row>
    <row r="3" spans="1:12" ht="11.25">
      <c r="A3" s="8" t="str">
        <f>VLOOKUP(LARGE('[1]Top25BAYH'!$A$5:$C$277,1),'[1]Top25BAYH'!$A$5:$C$277,3,FALSE)</f>
        <v>NEONATE BIRTHWT &gt;2499G, NORMAL NEWBORN OR NEONATE W OTHER PROBLEM                 </v>
      </c>
      <c r="B3" s="9">
        <f>VLOOKUP(LARGE('[1]Top25BAYH'!$A$5:$C$277,1),'[1]Top25BAYH'!$A$5:$C$277,1,FALSE)</f>
        <v>2103</v>
      </c>
      <c r="C3" s="10">
        <f>VLOOKUP(LARGE('[1]Top25BAYH'!$A$5:$C$277,1),'[1]Top25BAYH'!$A$5:$C$277,1,FALSE)/'[1]Top25BAYH'!$I$278*100</f>
        <v>17.479843737012718</v>
      </c>
      <c r="D3" s="10">
        <f>(VLOOKUP(LARGE('[1]Top25BAYH'!$A$5:$C$277,1),'[1]Top25BAYH'!$A$5:$C$277,1,FALSE)/'[1]Top25BAYH'!$I$279*100)</f>
        <v>10.61906685518077</v>
      </c>
      <c r="E3" s="10">
        <f>VLOOKUP(LARGE('[1]Top25BAYH'!$A$5:$A$277,1),'[1]Top25BAYH'!$A$5:$P$277,14,FALSE)</f>
        <v>2.2</v>
      </c>
      <c r="F3" s="11">
        <f>VLOOKUP(LARGE('[1]Top25BAYH'!$A$5:$A$277,1),'[1]Top25BAYH'!$A$5:$P$277,15,FALSE)</f>
        <v>2345.63</v>
      </c>
      <c r="G3" s="12">
        <f>VLOOKUP(LARGE('[1]Top25BAYH'!$A$5:$A$277,1),'[1]Top25BAYH'!$A$5:$P$277,10,FALSE)/VLOOKUP(LARGE('[1]Top25BAYH'!$A$5:$A$277,1),'[1]Top25BAYH'!$A$5:$P$277,13,FALSE)*100</f>
        <v>49.310508796956725</v>
      </c>
      <c r="H3" s="13">
        <f>VLOOKUP(LARGE('[1]Top25BAYH'!$A$5:$A$277,1),'[1]Top25BAYH'!$A$5:$P$277,11,FALSE)/VLOOKUP(LARGE('[1]Top25BAYH'!$A$5:$A$277,1),'[1]Top25BAYH'!$A$5:$P$277,13,FALSE)*100</f>
        <v>50.68949120304327</v>
      </c>
      <c r="I3" s="12">
        <f>VLOOKUP(LARGE('[1]Top25BAYH'!$A$5:$A$277,1),'[1]Top25BAYH'!$A$5:$P$277,4,FALSE)/VLOOKUP(LARGE('[1]Top25BAYH'!$A$5:$A$277,1),'[1]Top25BAYH'!$A$5:$P$277,9,FALSE)*100</f>
        <v>100</v>
      </c>
      <c r="J3" s="14">
        <f>VLOOKUP(LARGE('[1]Top25BAYH'!$A$5:$A$277,1),'[1]Top25BAYH'!$A$5:$P$277,5,FALSE)/VLOOKUP(LARGE('[1]Top25BAYH'!$A$5:$A$277,1),'[1]Top25BAYH'!$A$5:$P$277,9,FALSE)*100</f>
        <v>0</v>
      </c>
      <c r="K3" s="14">
        <f>VLOOKUP(LARGE('[1]Top25BAYH'!$A$5:$A$277,1),'[1]Top25BAYH'!$A$5:$P$277,6,FALSE)/VLOOKUP(LARGE('[1]Top25BAYH'!$A$5:$A$277,1),'[1]Top25BAYH'!$A$5:$P$277,9,FALSE)*100</f>
        <v>0</v>
      </c>
      <c r="L3" s="14">
        <f>VLOOKUP(LARGE('[1]Top25BAYH'!$A$5:$A$277,1),'[1]Top25BAYH'!$A$5:$P$277,7,FALSE)/VLOOKUP(LARGE('[1]Top25BAYH'!$A$5:$A$277,1),'[1]Top25BAYH'!$A$5:$P$277,9,FALSE)*100</f>
        <v>0</v>
      </c>
    </row>
    <row r="4" spans="1:12" ht="11.25">
      <c r="A4" s="8" t="str">
        <f>VLOOKUP(LARGE('[1]Top25BAYH'!$A$5:$C$277,2),'[1]Top25BAYH'!$A$5:$C$277,3,FALSE)</f>
        <v>VAGINAL DELIVERY                                                                  </v>
      </c>
      <c r="B4" s="9">
        <f>VLOOKUP(LARGE('[1]Top25BAYH'!$A$5:$C$277,2),'[1]Top25BAYH'!$A$5:$C$277,1,FALSE)</f>
        <v>1478</v>
      </c>
      <c r="C4" s="10">
        <f>VLOOKUP(LARGE('[1]Top25BAYH'!$A$5:$C$277,2),'[1]Top25BAYH'!$A$5:$C$277,1,FALSE)/'[1]Top25BAYH'!$I$278*100</f>
        <v>12.284930595960436</v>
      </c>
      <c r="D4" s="10">
        <f>(VLOOKUP(LARGE('[1]Top25BAYH'!$A$5:$C$277,2),'[1]Top25BAYH'!$A$5:$C$277,1,FALSE)/'[1]Top25BAYH'!$I$279*100)</f>
        <v>7.463138759846495</v>
      </c>
      <c r="E4" s="10">
        <f>VLOOKUP(LARGE('[1]Top25BAYH'!$A$5:$A$277,2),'[1]Top25BAYH'!$A$5:$P$277,14,FALSE)</f>
        <v>2.4</v>
      </c>
      <c r="F4" s="11">
        <f>VLOOKUP(LARGE('[1]Top25BAYH'!$A$5:$A$277,2),'[1]Top25BAYH'!$A$5:$P$277,15,FALSE)</f>
        <v>7080.52</v>
      </c>
      <c r="G4" s="12">
        <f>VLOOKUP(LARGE('[1]Top25BAYH'!$A$5:$A$277,2),'[1]Top25BAYH'!$A$5:$P$277,10,FALSE)/VLOOKUP(LARGE('[1]Top25BAYH'!$A$5:$A$277,2),'[1]Top25BAYH'!$A$5:$P$277,13,FALSE)*100</f>
        <v>0</v>
      </c>
      <c r="H4" s="13">
        <f>VLOOKUP(LARGE('[1]Top25BAYH'!$A$5:$A$277,2),'[1]Top25BAYH'!$A$5:$P$277,11,FALSE)/VLOOKUP(LARGE('[1]Top25BAYH'!$A$5:$A$277,2),'[1]Top25BAYH'!$A$5:$P$277,13,FALSE)*100</f>
        <v>100</v>
      </c>
      <c r="I4" s="12">
        <f>VLOOKUP(LARGE('[1]Top25BAYH'!$A$5:$A$277,2),'[1]Top25BAYH'!$A$5:$P$277,4,FALSE)/VLOOKUP(LARGE('[1]Top25BAYH'!$A$5:$A$277,2),'[1]Top25BAYH'!$A$5:$P$277,9,FALSE)*100</f>
        <v>4.059539918809202</v>
      </c>
      <c r="J4" s="14">
        <f>VLOOKUP(LARGE('[1]Top25BAYH'!$A$5:$A$277,2),'[1]Top25BAYH'!$A$5:$P$277,5,FALSE)/VLOOKUP(LARGE('[1]Top25BAYH'!$A$5:$A$277,2),'[1]Top25BAYH'!$A$5:$P$277,9,FALSE)*100</f>
        <v>95.80514208389715</v>
      </c>
      <c r="K4" s="14">
        <f>VLOOKUP(LARGE('[1]Top25BAYH'!$A$5:$A$277,2),'[1]Top25BAYH'!$A$5:$P$277,6,FALSE)/VLOOKUP(LARGE('[1]Top25BAYH'!$A$5:$A$277,2),'[1]Top25BAYH'!$A$5:$P$277,9,FALSE)*100</f>
        <v>0.13531799729364005</v>
      </c>
      <c r="L4" s="14">
        <f>VLOOKUP(LARGE('[1]Top25BAYH'!$A$5:$A$277,2),'[1]Top25BAYH'!$A$5:$P$277,7,FALSE)/VLOOKUP(LARGE('[1]Top25BAYH'!$A$5:$A$277,2),'[1]Top25BAYH'!$A$5:$P$277,9,FALSE)*100</f>
        <v>0</v>
      </c>
    </row>
    <row r="5" spans="1:12" ht="11.25">
      <c r="A5" s="8" t="str">
        <f>VLOOKUP(LARGE('[1]Top25BAYH'!$A$5:$C$277,3),'[1]Top25BAYH'!$A$5:$C$277,3,FALSE)</f>
        <v>REHABILITATION                                                                    </v>
      </c>
      <c r="B5" s="9">
        <f>VLOOKUP(LARGE('[1]Top25BAYH'!$A$5:$C$277,3),'[1]Top25BAYH'!$A$5:$C$277,1,FALSE)</f>
        <v>880</v>
      </c>
      <c r="C5" s="10">
        <f>VLOOKUP(LARGE('[1]Top25BAYH'!$A$5:$C$277,3),'[1]Top25BAYH'!$A$5:$C$277,1,FALSE)/'[1]Top25BAYH'!$I$278*100</f>
        <v>7.314437702601613</v>
      </c>
      <c r="D5" s="10">
        <f>(VLOOKUP(LARGE('[1]Top25BAYH'!$A$5:$C$277,3),'[1]Top25BAYH'!$A$5:$C$277,1,FALSE)/'[1]Top25BAYH'!$I$279*100)</f>
        <v>4.443546758230661</v>
      </c>
      <c r="E5" s="10">
        <f>VLOOKUP(LARGE('[1]Top25BAYH'!$A$5:$A$277,3),'[1]Top25BAYH'!$A$5:$P$277,14,FALSE)</f>
        <v>12.2</v>
      </c>
      <c r="F5" s="11">
        <f>VLOOKUP(LARGE('[1]Top25BAYH'!$A$5:$A$277,3),'[1]Top25BAYH'!$A$5:$P$277,15,FALSE)</f>
        <v>26902.47</v>
      </c>
      <c r="G5" s="12">
        <f>VLOOKUP(LARGE('[1]Top25BAYH'!$A$5:$A$277,3),'[1]Top25BAYH'!$A$5:$P$277,10,FALSE)/VLOOKUP(LARGE('[1]Top25BAYH'!$A$5:$A$277,3),'[1]Top25BAYH'!$A$5:$P$277,13,FALSE)*100</f>
        <v>48.97727272727273</v>
      </c>
      <c r="H5" s="13">
        <f>VLOOKUP(LARGE('[1]Top25BAYH'!$A$5:$A$277,3),'[1]Top25BAYH'!$A$5:$P$277,11,FALSE)/VLOOKUP(LARGE('[1]Top25BAYH'!$A$5:$A$277,3),'[1]Top25BAYH'!$A$5:$P$277,13,FALSE)*100</f>
        <v>51.02272727272727</v>
      </c>
      <c r="I5" s="12">
        <f>VLOOKUP(LARGE('[1]Top25BAYH'!$A$5:$A$277,3),'[1]Top25BAYH'!$A$5:$P$277,4,FALSE)/VLOOKUP(LARGE('[1]Top25BAYH'!$A$5:$A$277,3),'[1]Top25BAYH'!$A$5:$P$277,9,FALSE)*100</f>
        <v>0</v>
      </c>
      <c r="J5" s="14">
        <f>VLOOKUP(LARGE('[1]Top25BAYH'!$A$5:$A$277,3),'[1]Top25BAYH'!$A$5:$P$277,5,FALSE)/VLOOKUP(LARGE('[1]Top25BAYH'!$A$5:$A$277,3),'[1]Top25BAYH'!$A$5:$P$277,9,FALSE)*100</f>
        <v>4.545454545454546</v>
      </c>
      <c r="K5" s="14">
        <f>VLOOKUP(LARGE('[1]Top25BAYH'!$A$5:$A$277,3),'[1]Top25BAYH'!$A$5:$P$277,6,FALSE)/VLOOKUP(LARGE('[1]Top25BAYH'!$A$5:$A$277,3),'[1]Top25BAYH'!$A$5:$P$277,9,FALSE)*100</f>
        <v>22.727272727272727</v>
      </c>
      <c r="L5" s="14">
        <f>VLOOKUP(LARGE('[1]Top25BAYH'!$A$5:$A$277,3),'[1]Top25BAYH'!$A$5:$P$277,7,FALSE)/VLOOKUP(LARGE('[1]Top25BAYH'!$A$5:$A$277,3),'[1]Top25BAYH'!$A$5:$P$277,9,FALSE)*100</f>
        <v>72.72727272727273</v>
      </c>
    </row>
    <row r="6" spans="1:12" ht="11.25">
      <c r="A6" s="8" t="str">
        <f>VLOOKUP(LARGE('[1]Top25BAYH'!$A$5:$C$277,4),'[1]Top25BAYH'!$A$5:$C$277,3,FALSE)</f>
        <v>CESAREAN DELIVERY                                                                 </v>
      </c>
      <c r="B6" s="9">
        <f>VLOOKUP(LARGE('[1]Top25BAYH'!$A$5:$C$277,4),'[1]Top25BAYH'!$A$5:$C$277,1,FALSE)</f>
        <v>739</v>
      </c>
      <c r="C6" s="10">
        <f>VLOOKUP(LARGE('[1]Top25BAYH'!$A$5:$C$277,4),'[1]Top25BAYH'!$A$5:$C$277,1,FALSE)/'[1]Top25BAYH'!$I$278*100</f>
        <v>6.142465297980218</v>
      </c>
      <c r="D6" s="10">
        <f>(VLOOKUP(LARGE('[1]Top25BAYH'!$A$5:$C$277,4),'[1]Top25BAYH'!$A$5:$C$277,1,FALSE)/'[1]Top25BAYH'!$I$279*100)</f>
        <v>3.7315693799232474</v>
      </c>
      <c r="E6" s="10">
        <f>VLOOKUP(LARGE('[1]Top25BAYH'!$A$5:$A$277,4),'[1]Top25BAYH'!$A$5:$P$277,14,FALSE)</f>
        <v>3.3</v>
      </c>
      <c r="F6" s="11">
        <f>VLOOKUP(LARGE('[1]Top25BAYH'!$A$5:$A$277,4),'[1]Top25BAYH'!$A$5:$P$277,15,FALSE)</f>
        <v>11112.28</v>
      </c>
      <c r="G6" s="12">
        <f>VLOOKUP(LARGE('[1]Top25BAYH'!$A$5:$A$277,4),'[1]Top25BAYH'!$A$5:$P$277,10,FALSE)/VLOOKUP(LARGE('[1]Top25BAYH'!$A$5:$A$277,4),'[1]Top25BAYH'!$A$5:$P$277,13,FALSE)*100</f>
        <v>0</v>
      </c>
      <c r="H6" s="13">
        <f>VLOOKUP(LARGE('[1]Top25BAYH'!$A$5:$A$277,4),'[1]Top25BAYH'!$A$5:$P$277,11,FALSE)/VLOOKUP(LARGE('[1]Top25BAYH'!$A$5:$A$277,4),'[1]Top25BAYH'!$A$5:$P$277,13,FALSE)*100</f>
        <v>100</v>
      </c>
      <c r="I6" s="12">
        <f>VLOOKUP(LARGE('[1]Top25BAYH'!$A$5:$A$277,4),'[1]Top25BAYH'!$A$5:$P$277,4,FALSE)/VLOOKUP(LARGE('[1]Top25BAYH'!$A$5:$A$277,4),'[1]Top25BAYH'!$A$5:$P$277,9,FALSE)*100</f>
        <v>1.0825439783491204</v>
      </c>
      <c r="J6" s="14">
        <f>VLOOKUP(LARGE('[1]Top25BAYH'!$A$5:$A$277,4),'[1]Top25BAYH'!$A$5:$P$277,5,FALSE)/VLOOKUP(LARGE('[1]Top25BAYH'!$A$5:$A$277,4),'[1]Top25BAYH'!$A$5:$P$277,9,FALSE)*100</f>
        <v>98.24086603518268</v>
      </c>
      <c r="K6" s="14">
        <f>VLOOKUP(LARGE('[1]Top25BAYH'!$A$5:$A$277,4),'[1]Top25BAYH'!$A$5:$P$277,6,FALSE)/VLOOKUP(LARGE('[1]Top25BAYH'!$A$5:$A$277,4),'[1]Top25BAYH'!$A$5:$P$277,9,FALSE)*100</f>
        <v>0.6765899864682002</v>
      </c>
      <c r="L6" s="14">
        <f>VLOOKUP(LARGE('[1]Top25BAYH'!$A$5:$A$277,4),'[1]Top25BAYH'!$A$5:$P$277,7,FALSE)/VLOOKUP(LARGE('[1]Top25BAYH'!$A$5:$A$277,4),'[1]Top25BAYH'!$A$5:$P$277,9,FALSE)*100</f>
        <v>0</v>
      </c>
    </row>
    <row r="7" spans="1:12" ht="11.25">
      <c r="A7" s="8" t="str">
        <f>VLOOKUP(LARGE('[1]Top25BAYH'!$A$5:$C$277,5),'[1]Top25BAYH'!$A$5:$C$277,3,FALSE)</f>
        <v>OTHER PNEUMONIA                                                                   </v>
      </c>
      <c r="B7" s="9">
        <f>VLOOKUP(LARGE('[1]Top25BAYH'!$A$5:$C$277,5),'[1]Top25BAYH'!$A$5:$C$277,1,FALSE)</f>
        <v>721</v>
      </c>
      <c r="C7" s="10">
        <f>VLOOKUP(LARGE('[1]Top25BAYH'!$A$5:$C$277,5),'[1]Top25BAYH'!$A$5:$C$277,1,FALSE)/'[1]Top25BAYH'!$I$278*100</f>
        <v>5.992851799517912</v>
      </c>
      <c r="D7" s="10">
        <f>(VLOOKUP(LARGE('[1]Top25BAYH'!$A$5:$C$277,5),'[1]Top25BAYH'!$A$5:$C$277,1,FALSE)/'[1]Top25BAYH'!$I$279*100)</f>
        <v>3.6406786507776205</v>
      </c>
      <c r="E7" s="10">
        <f>VLOOKUP(LARGE('[1]Top25BAYH'!$A$5:$A$277,5),'[1]Top25BAYH'!$A$5:$P$277,14,FALSE)</f>
        <v>5</v>
      </c>
      <c r="F7" s="11">
        <f>VLOOKUP(LARGE('[1]Top25BAYH'!$A$5:$A$277,5),'[1]Top25BAYH'!$A$5:$P$277,15,FALSE)</f>
        <v>17812.19</v>
      </c>
      <c r="G7" s="12">
        <f>VLOOKUP(LARGE('[1]Top25BAYH'!$A$5:$A$277,5),'[1]Top25BAYH'!$A$5:$P$277,10,FALSE)/VLOOKUP(LARGE('[1]Top25BAYH'!$A$5:$A$277,5),'[1]Top25BAYH'!$A$5:$P$277,13,FALSE)*100</f>
        <v>48.26629680998613</v>
      </c>
      <c r="H7" s="13">
        <f>VLOOKUP(LARGE('[1]Top25BAYH'!$A$5:$A$277,5),'[1]Top25BAYH'!$A$5:$P$277,11,FALSE)/VLOOKUP(LARGE('[1]Top25BAYH'!$A$5:$A$277,5),'[1]Top25BAYH'!$A$5:$P$277,13,FALSE)*100</f>
        <v>51.73370319001387</v>
      </c>
      <c r="I7" s="12">
        <f>VLOOKUP(LARGE('[1]Top25BAYH'!$A$5:$A$277,5),'[1]Top25BAYH'!$A$5:$P$277,4,FALSE)/VLOOKUP(LARGE('[1]Top25BAYH'!$A$5:$A$277,5),'[1]Top25BAYH'!$A$5:$P$277,9,FALSE)*100</f>
        <v>15.39528432732316</v>
      </c>
      <c r="J7" s="14">
        <f>VLOOKUP(LARGE('[1]Top25BAYH'!$A$5:$A$277,5),'[1]Top25BAYH'!$A$5:$P$277,5,FALSE)/VLOOKUP(LARGE('[1]Top25BAYH'!$A$5:$A$277,5),'[1]Top25BAYH'!$A$5:$P$277,9,FALSE)*100</f>
        <v>8.876560332871012</v>
      </c>
      <c r="K7" s="14">
        <f>VLOOKUP(LARGE('[1]Top25BAYH'!$A$5:$A$277,5),'[1]Top25BAYH'!$A$5:$P$277,6,FALSE)/VLOOKUP(LARGE('[1]Top25BAYH'!$A$5:$A$277,5),'[1]Top25BAYH'!$A$5:$P$277,9,FALSE)*100</f>
        <v>22.607489597780862</v>
      </c>
      <c r="L7" s="14">
        <f>VLOOKUP(LARGE('[1]Top25BAYH'!$A$5:$A$277,5),'[1]Top25BAYH'!$A$5:$P$277,7,FALSE)/VLOOKUP(LARGE('[1]Top25BAYH'!$A$5:$A$277,5),'[1]Top25BAYH'!$A$5:$P$277,9,FALSE)*100</f>
        <v>53.12066574202496</v>
      </c>
    </row>
    <row r="8" spans="1:12" ht="11.25">
      <c r="A8" s="8" t="str">
        <f>VLOOKUP(LARGE('[1]Top25BAYH'!$A$5:$C$277,6),'[1]Top25BAYH'!$A$5:$C$277,3,FALSE)</f>
        <v>SEPTICEMIA &amp; DISSEMINATED INFECTIONS                                              </v>
      </c>
      <c r="B8" s="9">
        <f>VLOOKUP(LARGE('[1]Top25BAYH'!$A$5:$C$277,6),'[1]Top25BAYH'!$A$5:$C$277,1,FALSE)</f>
        <v>655</v>
      </c>
      <c r="C8" s="10">
        <f>VLOOKUP(LARGE('[1]Top25BAYH'!$A$5:$C$277,6),'[1]Top25BAYH'!$A$5:$C$277,1,FALSE)/'[1]Top25BAYH'!$I$278*100</f>
        <v>5.444268971822791</v>
      </c>
      <c r="D8" s="10">
        <f>(VLOOKUP(LARGE('[1]Top25BAYH'!$A$5:$C$277,6),'[1]Top25BAYH'!$A$5:$C$277,1,FALSE)/'[1]Top25BAYH'!$I$279*100)</f>
        <v>3.3074126439103213</v>
      </c>
      <c r="E8" s="10">
        <f>VLOOKUP(LARGE('[1]Top25BAYH'!$A$5:$A$277,6),'[1]Top25BAYH'!$A$5:$P$277,14,FALSE)</f>
        <v>8.7</v>
      </c>
      <c r="F8" s="11">
        <f>VLOOKUP(LARGE('[1]Top25BAYH'!$A$5:$A$277,6),'[1]Top25BAYH'!$A$5:$P$277,15,FALSE)</f>
        <v>35098.8</v>
      </c>
      <c r="G8" s="12">
        <f>VLOOKUP(LARGE('[1]Top25BAYH'!$A$5:$A$277,6),'[1]Top25BAYH'!$A$5:$P$277,10,FALSE)/VLOOKUP(LARGE('[1]Top25BAYH'!$A$5:$A$277,6),'[1]Top25BAYH'!$A$5:$P$277,13,FALSE)*100</f>
        <v>46.25954198473283</v>
      </c>
      <c r="H8" s="13">
        <f>VLOOKUP(LARGE('[1]Top25BAYH'!$A$5:$A$277,6),'[1]Top25BAYH'!$A$5:$P$277,11,FALSE)/VLOOKUP(LARGE('[1]Top25BAYH'!$A$5:$A$277,6),'[1]Top25BAYH'!$A$5:$P$277,13,FALSE)*100</f>
        <v>53.74045801526718</v>
      </c>
      <c r="I8" s="12">
        <f>VLOOKUP(LARGE('[1]Top25BAYH'!$A$5:$A$277,6),'[1]Top25BAYH'!$A$5:$P$277,4,FALSE)/VLOOKUP(LARGE('[1]Top25BAYH'!$A$5:$A$277,6),'[1]Top25BAYH'!$A$5:$P$277,9,FALSE)*100</f>
        <v>0.6106870229007634</v>
      </c>
      <c r="J8" s="14">
        <f>VLOOKUP(LARGE('[1]Top25BAYH'!$A$5:$A$277,6),'[1]Top25BAYH'!$A$5:$P$277,5,FALSE)/VLOOKUP(LARGE('[1]Top25BAYH'!$A$5:$A$277,6),'[1]Top25BAYH'!$A$5:$P$277,9,FALSE)*100</f>
        <v>9.618320610687023</v>
      </c>
      <c r="K8" s="14">
        <f>VLOOKUP(LARGE('[1]Top25BAYH'!$A$5:$A$277,6),'[1]Top25BAYH'!$A$5:$P$277,6,FALSE)/VLOOKUP(LARGE('[1]Top25BAYH'!$A$5:$A$277,6),'[1]Top25BAYH'!$A$5:$P$277,9,FALSE)*100</f>
        <v>24.427480916030532</v>
      </c>
      <c r="L8" s="14">
        <f>VLOOKUP(LARGE('[1]Top25BAYH'!$A$5:$A$277,6),'[1]Top25BAYH'!$A$5:$P$277,7,FALSE)/VLOOKUP(LARGE('[1]Top25BAYH'!$A$5:$A$277,6),'[1]Top25BAYH'!$A$5:$P$277,9,FALSE)*100</f>
        <v>65.34351145038167</v>
      </c>
    </row>
    <row r="9" spans="1:12" ht="11.25">
      <c r="A9" s="8" t="str">
        <f>VLOOKUP(LARGE('[1]Top25BAYH'!$A$5:$C$277,7),'[1]Top25BAYH'!$A$5:$C$277,3,FALSE)</f>
        <v>HEART FAILURE                                                                     </v>
      </c>
      <c r="B9" s="9">
        <f>VLOOKUP(LARGE('[1]Top25BAYH'!$A$5:$C$277,7),'[1]Top25BAYH'!$A$5:$C$277,1,FALSE)</f>
        <v>549</v>
      </c>
      <c r="C9" s="10">
        <f>VLOOKUP(LARGE('[1]Top25BAYH'!$A$5:$C$277,7),'[1]Top25BAYH'!$A$5:$C$277,1,FALSE)/'[1]Top25BAYH'!$I$278*100</f>
        <v>4.5632117031003245</v>
      </c>
      <c r="D9" s="10">
        <f>(VLOOKUP(LARGE('[1]Top25BAYH'!$A$5:$C$277,7),'[1]Top25BAYH'!$A$5:$C$277,1,FALSE)/'[1]Top25BAYH'!$I$279*100)</f>
        <v>2.772167238941628</v>
      </c>
      <c r="E9" s="10">
        <f>VLOOKUP(LARGE('[1]Top25BAYH'!$A$5:$A$277,7),'[1]Top25BAYH'!$A$5:$P$277,14,FALSE)</f>
        <v>4.9</v>
      </c>
      <c r="F9" s="11">
        <f>VLOOKUP(LARGE('[1]Top25BAYH'!$A$5:$A$277,7),'[1]Top25BAYH'!$A$5:$P$277,15,FALSE)</f>
        <v>17322.94</v>
      </c>
      <c r="G9" s="12">
        <f>VLOOKUP(LARGE('[1]Top25BAYH'!$A$5:$A$277,7),'[1]Top25BAYH'!$A$5:$P$277,10,FALSE)/VLOOKUP(LARGE('[1]Top25BAYH'!$A$5:$A$277,7),'[1]Top25BAYH'!$A$5:$P$277,13,FALSE)*100</f>
        <v>53.18761384335154</v>
      </c>
      <c r="H9" s="13">
        <f>VLOOKUP(LARGE('[1]Top25BAYH'!$A$5:$A$277,7),'[1]Top25BAYH'!$A$5:$P$277,11,FALSE)/VLOOKUP(LARGE('[1]Top25BAYH'!$A$5:$A$277,7),'[1]Top25BAYH'!$A$5:$P$277,13,FALSE)*100</f>
        <v>46.81238615664845</v>
      </c>
      <c r="I9" s="12">
        <f>VLOOKUP(LARGE('[1]Top25BAYH'!$A$5:$A$277,7),'[1]Top25BAYH'!$A$5:$P$277,4,FALSE)/VLOOKUP(LARGE('[1]Top25BAYH'!$A$5:$A$277,7),'[1]Top25BAYH'!$A$5:$P$277,9,FALSE)*100</f>
        <v>0</v>
      </c>
      <c r="J9" s="14">
        <f>VLOOKUP(LARGE('[1]Top25BAYH'!$A$5:$A$277,7),'[1]Top25BAYH'!$A$5:$P$277,5,FALSE)/VLOOKUP(LARGE('[1]Top25BAYH'!$A$5:$A$277,7),'[1]Top25BAYH'!$A$5:$P$277,9,FALSE)*100</f>
        <v>5.2823315118397085</v>
      </c>
      <c r="K9" s="14">
        <f>VLOOKUP(LARGE('[1]Top25BAYH'!$A$5:$A$277,7),'[1]Top25BAYH'!$A$5:$P$277,6,FALSE)/VLOOKUP(LARGE('[1]Top25BAYH'!$A$5:$A$277,7),'[1]Top25BAYH'!$A$5:$P$277,9,FALSE)*100</f>
        <v>28.59744990892532</v>
      </c>
      <c r="L9" s="14">
        <f>VLOOKUP(LARGE('[1]Top25BAYH'!$A$5:$A$277,7),'[1]Top25BAYH'!$A$5:$P$277,7,FALSE)/VLOOKUP(LARGE('[1]Top25BAYH'!$A$5:$A$277,7),'[1]Top25BAYH'!$A$5:$P$277,9,FALSE)*100</f>
        <v>66.12021857923497</v>
      </c>
    </row>
    <row r="10" spans="1:12" ht="11.25">
      <c r="A10" s="8" t="str">
        <f>VLOOKUP(LARGE('[1]Top25BAYH'!$A$5:$C$277,8),'[1]Top25BAYH'!$A$5:$C$277,3,FALSE)</f>
        <v>CHRONIC OBSTRUCTIVE PULMONARY DISEASE                                             </v>
      </c>
      <c r="B10" s="9">
        <f>VLOOKUP(LARGE('[1]Top25BAYH'!$A$5:$C$277,8),'[1]Top25BAYH'!$A$5:$C$277,1,FALSE)</f>
        <v>493</v>
      </c>
      <c r="C10" s="10">
        <f>VLOOKUP(LARGE('[1]Top25BAYH'!$A$5:$C$277,8),'[1]Top25BAYH'!$A$5:$C$277,1,FALSE)/'[1]Top25BAYH'!$I$278*100</f>
        <v>4.09774748566204</v>
      </c>
      <c r="D10" s="10">
        <f>(VLOOKUP(LARGE('[1]Top25BAYH'!$A$5:$C$277,8),'[1]Top25BAYH'!$A$5:$C$277,1,FALSE)/'[1]Top25BAYH'!$I$279*100)</f>
        <v>2.489396081599677</v>
      </c>
      <c r="E10" s="10">
        <f>VLOOKUP(LARGE('[1]Top25BAYH'!$A$5:$A$277,8),'[1]Top25BAYH'!$A$5:$P$277,14,FALSE)</f>
        <v>4.5</v>
      </c>
      <c r="F10" s="11">
        <f>VLOOKUP(LARGE('[1]Top25BAYH'!$A$5:$A$277,8),'[1]Top25BAYH'!$A$5:$P$277,15,FALSE)</f>
        <v>15750.45</v>
      </c>
      <c r="G10" s="12">
        <f>VLOOKUP(LARGE('[1]Top25BAYH'!$A$5:$A$277,8),'[1]Top25BAYH'!$A$5:$P$277,10,FALSE)/VLOOKUP(LARGE('[1]Top25BAYH'!$A$5:$A$277,8),'[1]Top25BAYH'!$A$5:$P$277,13,FALSE)*100</f>
        <v>39.350912778904664</v>
      </c>
      <c r="H10" s="13">
        <f>VLOOKUP(LARGE('[1]Top25BAYH'!$A$5:$A$277,8),'[1]Top25BAYH'!$A$5:$P$277,11,FALSE)/VLOOKUP(LARGE('[1]Top25BAYH'!$A$5:$A$277,8),'[1]Top25BAYH'!$A$5:$P$277,13,FALSE)*100</f>
        <v>60.649087221095336</v>
      </c>
      <c r="I10" s="12">
        <f>VLOOKUP(LARGE('[1]Top25BAYH'!$A$5:$A$277,8),'[1]Top25BAYH'!$A$5:$P$277,4,FALSE)/VLOOKUP(LARGE('[1]Top25BAYH'!$A$5:$A$277,8),'[1]Top25BAYH'!$A$5:$P$277,9,FALSE)*100</f>
        <v>0</v>
      </c>
      <c r="J10" s="14">
        <f>VLOOKUP(LARGE('[1]Top25BAYH'!$A$5:$A$277,8),'[1]Top25BAYH'!$A$5:$P$277,5,FALSE)/VLOOKUP(LARGE('[1]Top25BAYH'!$A$5:$A$277,8),'[1]Top25BAYH'!$A$5:$P$277,9,FALSE)*100</f>
        <v>2.839756592292089</v>
      </c>
      <c r="K10" s="14">
        <f>VLOOKUP(LARGE('[1]Top25BAYH'!$A$5:$A$277,8),'[1]Top25BAYH'!$A$5:$P$277,6,FALSE)/VLOOKUP(LARGE('[1]Top25BAYH'!$A$5:$A$277,8),'[1]Top25BAYH'!$A$5:$P$277,9,FALSE)*100</f>
        <v>39.148073022312374</v>
      </c>
      <c r="L10" s="14">
        <f>VLOOKUP(LARGE('[1]Top25BAYH'!$A$5:$A$277,8),'[1]Top25BAYH'!$A$5:$P$277,7,FALSE)/VLOOKUP(LARGE('[1]Top25BAYH'!$A$5:$A$277,8),'[1]Top25BAYH'!$A$5:$P$277,9,FALSE)*100</f>
        <v>58.012170385395535</v>
      </c>
    </row>
    <row r="11" spans="1:12" ht="11.25">
      <c r="A11" s="8" t="str">
        <f>VLOOKUP(LARGE('[1]Top25BAYH'!$A$5:$C$277,9),'[1]Top25BAYH'!$A$5:$C$277,3,FALSE)</f>
        <v>PULMONARY EDEMA &amp; RESPIRATORY FAILURE                                             </v>
      </c>
      <c r="B11" s="9">
        <f>VLOOKUP(LARGE('[1]Top25BAYH'!$A$5:$C$277,9),'[1]Top25BAYH'!$A$5:$C$277,1,FALSE)</f>
        <v>448</v>
      </c>
      <c r="C11" s="10">
        <f>VLOOKUP(LARGE('[1]Top25BAYH'!$A$5:$C$277,9),'[1]Top25BAYH'!$A$5:$C$277,1,FALSE)/'[1]Top25BAYH'!$I$278*100</f>
        <v>3.723713739506276</v>
      </c>
      <c r="D11" s="10">
        <f>(VLOOKUP(LARGE('[1]Top25BAYH'!$A$5:$C$277,9),'[1]Top25BAYH'!$A$5:$C$277,1,FALSE)/'[1]Top25BAYH'!$I$279*100)</f>
        <v>2.262169258735609</v>
      </c>
      <c r="E11" s="10">
        <f>VLOOKUP(LARGE('[1]Top25BAYH'!$A$5:$A$277,9),'[1]Top25BAYH'!$A$5:$P$277,14,FALSE)</f>
        <v>6.1</v>
      </c>
      <c r="F11" s="11">
        <f>VLOOKUP(LARGE('[1]Top25BAYH'!$A$5:$A$277,9),'[1]Top25BAYH'!$A$5:$P$277,15,FALSE)</f>
        <v>25592.64</v>
      </c>
      <c r="G11" s="12">
        <f>VLOOKUP(LARGE('[1]Top25BAYH'!$A$5:$A$277,9),'[1]Top25BAYH'!$A$5:$P$277,10,FALSE)/VLOOKUP(LARGE('[1]Top25BAYH'!$A$5:$A$277,9),'[1]Top25BAYH'!$A$5:$P$277,13,FALSE)*100</f>
        <v>41.07142857142857</v>
      </c>
      <c r="H11" s="13">
        <f>VLOOKUP(LARGE('[1]Top25BAYH'!$A$5:$A$277,9),'[1]Top25BAYH'!$A$5:$P$277,11,FALSE)/VLOOKUP(LARGE('[1]Top25BAYH'!$A$5:$A$277,9),'[1]Top25BAYH'!$A$5:$P$277,13,FALSE)*100</f>
        <v>58.92857142857143</v>
      </c>
      <c r="I11" s="12">
        <f>VLOOKUP(LARGE('[1]Top25BAYH'!$A$5:$A$277,9),'[1]Top25BAYH'!$A$5:$P$277,4,FALSE)/VLOOKUP(LARGE('[1]Top25BAYH'!$A$5:$A$277,9),'[1]Top25BAYH'!$A$5:$P$277,9,FALSE)*100</f>
        <v>0.2232142857142857</v>
      </c>
      <c r="J11" s="14">
        <f>VLOOKUP(LARGE('[1]Top25BAYH'!$A$5:$A$277,9),'[1]Top25BAYH'!$A$5:$P$277,5,FALSE)/VLOOKUP(LARGE('[1]Top25BAYH'!$A$5:$A$277,9),'[1]Top25BAYH'!$A$5:$P$277,9,FALSE)*100</f>
        <v>8.705357142857142</v>
      </c>
      <c r="K11" s="14">
        <f>VLOOKUP(LARGE('[1]Top25BAYH'!$A$5:$A$277,9),'[1]Top25BAYH'!$A$5:$P$277,6,FALSE)/VLOOKUP(LARGE('[1]Top25BAYH'!$A$5:$A$277,9),'[1]Top25BAYH'!$A$5:$P$277,9,FALSE)*100</f>
        <v>38.61607142857143</v>
      </c>
      <c r="L11" s="14">
        <f>VLOOKUP(LARGE('[1]Top25BAYH'!$A$5:$A$277,9),'[1]Top25BAYH'!$A$5:$P$277,7,FALSE)/VLOOKUP(LARGE('[1]Top25BAYH'!$A$5:$A$277,9),'[1]Top25BAYH'!$A$5:$P$277,9,FALSE)*100</f>
        <v>52.45535714285714</v>
      </c>
    </row>
    <row r="12" spans="1:12" ht="11.25">
      <c r="A12" s="8" t="str">
        <f>VLOOKUP(LARGE('[1]Top25BAYH'!$A$5:$C$277,10),'[1]Top25BAYH'!$A$5:$C$277,3,FALSE)</f>
        <v>CARDIAC ARRHYTHMIA &amp; CONDUCTION DISORDERS                                         </v>
      </c>
      <c r="B12" s="9">
        <f>VLOOKUP(LARGE('[1]Top25BAYH'!$A$5:$C$277,10),'[1]Top25BAYH'!$A$5:$C$277,1,FALSE)</f>
        <v>377</v>
      </c>
      <c r="C12" s="10">
        <f>VLOOKUP(LARGE('[1]Top25BAYH'!$A$5:$C$277,10),'[1]Top25BAYH'!$A$5:$C$277,1,FALSE)/'[1]Top25BAYH'!$I$278*100</f>
        <v>3.1335716066827364</v>
      </c>
      <c r="D12" s="10">
        <f>(VLOOKUP(LARGE('[1]Top25BAYH'!$A$5:$C$277,10),'[1]Top25BAYH'!$A$5:$C$277,1,FALSE)/'[1]Top25BAYH'!$I$279*100)</f>
        <v>1.9036558271056352</v>
      </c>
      <c r="E12" s="10">
        <f>VLOOKUP(LARGE('[1]Top25BAYH'!$A$5:$A$277,10),'[1]Top25BAYH'!$A$5:$P$277,14,FALSE)</f>
        <v>3.5</v>
      </c>
      <c r="F12" s="11">
        <f>VLOOKUP(LARGE('[1]Top25BAYH'!$A$5:$A$277,10),'[1]Top25BAYH'!$A$5:$P$277,15,FALSE)</f>
        <v>14764.81</v>
      </c>
      <c r="G12" s="12">
        <f>VLOOKUP(LARGE('[1]Top25BAYH'!$A$5:$A$277,10),'[1]Top25BAYH'!$A$5:$P$277,10,FALSE)/VLOOKUP(LARGE('[1]Top25BAYH'!$A$5:$A$277,10),'[1]Top25BAYH'!$A$5:$P$277,13,FALSE)*100</f>
        <v>51.45888594164456</v>
      </c>
      <c r="H12" s="13">
        <f>VLOOKUP(LARGE('[1]Top25BAYH'!$A$5:$A$277,10),'[1]Top25BAYH'!$A$5:$P$277,11,FALSE)/VLOOKUP(LARGE('[1]Top25BAYH'!$A$5:$A$277,10),'[1]Top25BAYH'!$A$5:$P$277,13,FALSE)*100</f>
        <v>48.54111405835544</v>
      </c>
      <c r="I12" s="12">
        <f>VLOOKUP(LARGE('[1]Top25BAYH'!$A$5:$A$277,10),'[1]Top25BAYH'!$A$5:$P$277,4,FALSE)/VLOOKUP(LARGE('[1]Top25BAYH'!$A$5:$A$277,10),'[1]Top25BAYH'!$A$5:$P$277,9,FALSE)*100</f>
        <v>0.2652519893899204</v>
      </c>
      <c r="J12" s="14">
        <f>VLOOKUP(LARGE('[1]Top25BAYH'!$A$5:$A$277,10),'[1]Top25BAYH'!$A$5:$P$277,5,FALSE)/VLOOKUP(LARGE('[1]Top25BAYH'!$A$5:$A$277,10),'[1]Top25BAYH'!$A$5:$P$277,9,FALSE)*100</f>
        <v>5.570291777188329</v>
      </c>
      <c r="K12" s="14">
        <f>VLOOKUP(LARGE('[1]Top25BAYH'!$A$5:$A$277,10),'[1]Top25BAYH'!$A$5:$P$277,6,FALSE)/VLOOKUP(LARGE('[1]Top25BAYH'!$A$5:$A$277,10),'[1]Top25BAYH'!$A$5:$P$277,9,FALSE)*100</f>
        <v>26.790450928381965</v>
      </c>
      <c r="L12" s="14">
        <f>VLOOKUP(LARGE('[1]Top25BAYH'!$A$5:$A$277,10),'[1]Top25BAYH'!$A$5:$P$277,7,FALSE)/VLOOKUP(LARGE('[1]Top25BAYH'!$A$5:$A$277,10),'[1]Top25BAYH'!$A$5:$P$277,9,FALSE)*100</f>
        <v>67.37400530503979</v>
      </c>
    </row>
    <row r="13" spans="1:12" ht="11.25">
      <c r="A13" s="8" t="str">
        <f>VLOOKUP(LARGE('[1]Top25BAYH'!$A$5:$C$277,11),'[1]Top25BAYH'!$A$5:$C$277,3,FALSE)</f>
        <v>KNEE JOINT REPLACEMENT                                                            </v>
      </c>
      <c r="B13" s="9">
        <f>VLOOKUP(LARGE('[1]Top25BAYH'!$A$5:$C$277,11),'[1]Top25BAYH'!$A$5:$C$277,1,FALSE)</f>
        <v>343</v>
      </c>
      <c r="C13" s="10">
        <f>VLOOKUP(LARGE('[1]Top25BAYH'!$A$5:$C$277,11),'[1]Top25BAYH'!$A$5:$C$277,1,FALSE)/'[1]Top25BAYH'!$I$278*100</f>
        <v>2.8509683318094923</v>
      </c>
      <c r="D13" s="10">
        <f>(VLOOKUP(LARGE('[1]Top25BAYH'!$A$5:$C$277,11),'[1]Top25BAYH'!$A$5:$C$277,1,FALSE)/'[1]Top25BAYH'!$I$279*100)</f>
        <v>1.7319733387194507</v>
      </c>
      <c r="E13" s="10">
        <f>VLOOKUP(LARGE('[1]Top25BAYH'!$A$5:$A$277,11),'[1]Top25BAYH'!$A$5:$P$277,14,FALSE)</f>
        <v>3.2</v>
      </c>
      <c r="F13" s="11">
        <f>VLOOKUP(LARGE('[1]Top25BAYH'!$A$5:$A$277,11),'[1]Top25BAYH'!$A$5:$P$277,15,FALSE)</f>
        <v>34680.25</v>
      </c>
      <c r="G13" s="12">
        <f>VLOOKUP(LARGE('[1]Top25BAYH'!$A$5:$A$277,11),'[1]Top25BAYH'!$A$5:$P$277,10,FALSE)/VLOOKUP(LARGE('[1]Top25BAYH'!$A$5:$A$277,11),'[1]Top25BAYH'!$A$5:$P$277,13,FALSE)*100</f>
        <v>32.94460641399417</v>
      </c>
      <c r="H13" s="13">
        <f>VLOOKUP(LARGE('[1]Top25BAYH'!$A$5:$A$277,11),'[1]Top25BAYH'!$A$5:$P$277,11,FALSE)/VLOOKUP(LARGE('[1]Top25BAYH'!$A$5:$A$277,11),'[1]Top25BAYH'!$A$5:$P$277,13,FALSE)*100</f>
        <v>67.05539358600583</v>
      </c>
      <c r="I13" s="12">
        <f>VLOOKUP(LARGE('[1]Top25BAYH'!$A$5:$A$277,11),'[1]Top25BAYH'!$A$5:$P$277,4,FALSE)/VLOOKUP(LARGE('[1]Top25BAYH'!$A$5:$A$277,11),'[1]Top25BAYH'!$A$5:$P$277,9,FALSE)*100</f>
        <v>0</v>
      </c>
      <c r="J13" s="14">
        <f>VLOOKUP(LARGE('[1]Top25BAYH'!$A$5:$A$277,11),'[1]Top25BAYH'!$A$5:$P$277,5,FALSE)/VLOOKUP(LARGE('[1]Top25BAYH'!$A$5:$A$277,11),'[1]Top25BAYH'!$A$5:$P$277,9,FALSE)*100</f>
        <v>3.7900874635568513</v>
      </c>
      <c r="K13" s="14">
        <f>VLOOKUP(LARGE('[1]Top25BAYH'!$A$5:$A$277,11),'[1]Top25BAYH'!$A$5:$P$277,6,FALSE)/VLOOKUP(LARGE('[1]Top25BAYH'!$A$5:$A$277,11),'[1]Top25BAYH'!$A$5:$P$277,9,FALSE)*100</f>
        <v>40.2332361516035</v>
      </c>
      <c r="L13" s="14">
        <f>VLOOKUP(LARGE('[1]Top25BAYH'!$A$5:$A$277,11),'[1]Top25BAYH'!$A$5:$P$277,7,FALSE)/VLOOKUP(LARGE('[1]Top25BAYH'!$A$5:$A$277,11),'[1]Top25BAYH'!$A$5:$P$277,9,FALSE)*100</f>
        <v>55.97667638483965</v>
      </c>
    </row>
    <row r="14" spans="1:12" ht="11.25">
      <c r="A14" s="8" t="str">
        <f>VLOOKUP(LARGE('[1]Top25BAYH'!$A$5:$C$277,12),'[1]Top25BAYH'!$A$5:$C$277,3,FALSE)</f>
        <v>RENAL FAILURE                                                                     </v>
      </c>
      <c r="B14" s="9">
        <f>VLOOKUP(LARGE('[1]Top25BAYH'!$A$5:$C$277,12),'[1]Top25BAYH'!$A$5:$C$277,1,FALSE)</f>
        <v>326</v>
      </c>
      <c r="C14" s="10">
        <f>VLOOKUP(LARGE('[1]Top25BAYH'!$A$5:$C$277,12),'[1]Top25BAYH'!$A$5:$C$277,1,FALSE)/'[1]Top25BAYH'!$I$278*100</f>
        <v>2.70966669437287</v>
      </c>
      <c r="D14" s="10">
        <f>(VLOOKUP(LARGE('[1]Top25BAYH'!$A$5:$C$277,12),'[1]Top25BAYH'!$A$5:$C$277,1,FALSE)/'[1]Top25BAYH'!$I$279*100)</f>
        <v>1.6461320945263584</v>
      </c>
      <c r="E14" s="10">
        <f>VLOOKUP(LARGE('[1]Top25BAYH'!$A$5:$A$277,12),'[1]Top25BAYH'!$A$5:$P$277,14,FALSE)</f>
        <v>7</v>
      </c>
      <c r="F14" s="11">
        <f>VLOOKUP(LARGE('[1]Top25BAYH'!$A$5:$A$277,12),'[1]Top25BAYH'!$A$5:$P$277,15,FALSE)</f>
        <v>24077.57</v>
      </c>
      <c r="G14" s="12">
        <f>VLOOKUP(LARGE('[1]Top25BAYH'!$A$5:$A$277,12),'[1]Top25BAYH'!$A$5:$P$277,10,FALSE)/VLOOKUP(LARGE('[1]Top25BAYH'!$A$5:$A$277,12),'[1]Top25BAYH'!$A$5:$P$277,13,FALSE)*100</f>
        <v>54.601226993865026</v>
      </c>
      <c r="H14" s="13">
        <f>VLOOKUP(LARGE('[1]Top25BAYH'!$A$5:$A$277,12),'[1]Top25BAYH'!$A$5:$P$277,11,FALSE)/VLOOKUP(LARGE('[1]Top25BAYH'!$A$5:$A$277,12),'[1]Top25BAYH'!$A$5:$P$277,13,FALSE)*100</f>
        <v>45.39877300613497</v>
      </c>
      <c r="I14" s="12">
        <f>VLOOKUP(LARGE('[1]Top25BAYH'!$A$5:$A$277,12),'[1]Top25BAYH'!$A$5:$P$277,4,FALSE)/VLOOKUP(LARGE('[1]Top25BAYH'!$A$5:$A$277,12),'[1]Top25BAYH'!$A$5:$P$277,9,FALSE)*100</f>
        <v>0</v>
      </c>
      <c r="J14" s="14">
        <f>VLOOKUP(LARGE('[1]Top25BAYH'!$A$5:$A$277,12),'[1]Top25BAYH'!$A$5:$P$277,5,FALSE)/VLOOKUP(LARGE('[1]Top25BAYH'!$A$5:$A$277,12),'[1]Top25BAYH'!$A$5:$P$277,9,FALSE)*100</f>
        <v>13.803680981595093</v>
      </c>
      <c r="K14" s="14">
        <f>VLOOKUP(LARGE('[1]Top25BAYH'!$A$5:$A$277,12),'[1]Top25BAYH'!$A$5:$P$277,6,FALSE)/VLOOKUP(LARGE('[1]Top25BAYH'!$A$5:$A$277,12),'[1]Top25BAYH'!$A$5:$P$277,9,FALSE)*100</f>
        <v>36.19631901840491</v>
      </c>
      <c r="L14" s="14">
        <f>VLOOKUP(LARGE('[1]Top25BAYH'!$A$5:$A$277,12),'[1]Top25BAYH'!$A$5:$P$277,7,FALSE)/VLOOKUP(LARGE('[1]Top25BAYH'!$A$5:$A$277,12),'[1]Top25BAYH'!$A$5:$P$277,9,FALSE)*100</f>
        <v>50</v>
      </c>
    </row>
    <row r="15" spans="1:12" ht="11.25">
      <c r="A15" s="8" t="str">
        <f>VLOOKUP(LARGE('[1]Top25BAYH'!$A$5:$C$277,13),'[1]Top25BAYH'!$A$5:$C$277,3,FALSE)</f>
        <v>KIDNEY &amp; URINARY TRACT INFECTIONS                                                 </v>
      </c>
      <c r="B15" s="9">
        <f>VLOOKUP(LARGE('[1]Top25BAYH'!$A$5:$C$277,13),'[1]Top25BAYH'!$A$5:$C$277,1,FALSE)</f>
        <v>307</v>
      </c>
      <c r="C15" s="10">
        <f>VLOOKUP(LARGE('[1]Top25BAYH'!$A$5:$C$277,13),'[1]Top25BAYH'!$A$5:$C$277,1,FALSE)/'[1]Top25BAYH'!$I$278*100</f>
        <v>2.5517413348848805</v>
      </c>
      <c r="D15" s="10">
        <f>(VLOOKUP(LARGE('[1]Top25BAYH'!$A$5:$C$277,13),'[1]Top25BAYH'!$A$5:$C$277,1,FALSE)/'[1]Top25BAYH'!$I$279*100)</f>
        <v>1.5501918804281964</v>
      </c>
      <c r="E15" s="10">
        <f>VLOOKUP(LARGE('[1]Top25BAYH'!$A$5:$A$277,13),'[1]Top25BAYH'!$A$5:$P$277,14,FALSE)</f>
        <v>4.8</v>
      </c>
      <c r="F15" s="11">
        <f>VLOOKUP(LARGE('[1]Top25BAYH'!$A$5:$A$277,13),'[1]Top25BAYH'!$A$5:$P$277,15,FALSE)</f>
        <v>14959.11</v>
      </c>
      <c r="G15" s="12">
        <f>VLOOKUP(LARGE('[1]Top25BAYH'!$A$5:$A$277,13),'[1]Top25BAYH'!$A$5:$P$277,10,FALSE)/VLOOKUP(LARGE('[1]Top25BAYH'!$A$5:$A$277,13),'[1]Top25BAYH'!$A$5:$P$277,13,FALSE)*100</f>
        <v>18.892508143322477</v>
      </c>
      <c r="H15" s="13">
        <f>VLOOKUP(LARGE('[1]Top25BAYH'!$A$5:$A$277,13),'[1]Top25BAYH'!$A$5:$P$277,11,FALSE)/VLOOKUP(LARGE('[1]Top25BAYH'!$A$5:$A$277,13),'[1]Top25BAYH'!$A$5:$P$277,13,FALSE)*100</f>
        <v>81.10749185667753</v>
      </c>
      <c r="I15" s="12">
        <f>VLOOKUP(LARGE('[1]Top25BAYH'!$A$5:$A$277,13),'[1]Top25BAYH'!$A$5:$P$277,4,FALSE)/VLOOKUP(LARGE('[1]Top25BAYH'!$A$5:$A$277,13),'[1]Top25BAYH'!$A$5:$P$277,9,FALSE)*100</f>
        <v>11.400651465798045</v>
      </c>
      <c r="J15" s="14">
        <f>VLOOKUP(LARGE('[1]Top25BAYH'!$A$5:$A$277,13),'[1]Top25BAYH'!$A$5:$P$277,5,FALSE)/VLOOKUP(LARGE('[1]Top25BAYH'!$A$5:$A$277,13),'[1]Top25BAYH'!$A$5:$P$277,9,FALSE)*100</f>
        <v>20.195439739413683</v>
      </c>
      <c r="K15" s="14">
        <f>VLOOKUP(LARGE('[1]Top25BAYH'!$A$5:$A$277,13),'[1]Top25BAYH'!$A$5:$P$277,6,FALSE)/VLOOKUP(LARGE('[1]Top25BAYH'!$A$5:$A$277,13),'[1]Top25BAYH'!$A$5:$P$277,9,FALSE)*100</f>
        <v>18.241042345276874</v>
      </c>
      <c r="L15" s="14">
        <f>VLOOKUP(LARGE('[1]Top25BAYH'!$A$5:$A$277,13),'[1]Top25BAYH'!$A$5:$P$277,7,FALSE)/VLOOKUP(LARGE('[1]Top25BAYH'!$A$5:$A$277,13),'[1]Top25BAYH'!$A$5:$P$277,9,FALSE)*100</f>
        <v>50.1628664495114</v>
      </c>
    </row>
    <row r="16" spans="1:12" ht="11.25">
      <c r="A16" s="8" t="str">
        <f>VLOOKUP(LARGE('[1]Top25BAYH'!$A$5:$C$277,14),'[1]Top25BAYH'!$A$5:$C$277,3,FALSE)</f>
        <v>CELLULITIS &amp; OTHER BACTERIAL SKIN INFECTIONS                                      </v>
      </c>
      <c r="B16" s="9">
        <f>VLOOKUP(LARGE('[1]Top25BAYH'!$A$5:$C$277,14),'[1]Top25BAYH'!$A$5:$C$277,1,FALSE)</f>
        <v>278</v>
      </c>
      <c r="C16" s="10">
        <f>VLOOKUP(LARGE('[1]Top25BAYH'!$A$5:$C$277,14),'[1]Top25BAYH'!$A$5:$C$277,1,FALSE)/'[1]Top25BAYH'!$I$278*100</f>
        <v>2.310697365140055</v>
      </c>
      <c r="D16" s="10">
        <f>(VLOOKUP(LARGE('[1]Top25BAYH'!$A$5:$C$277,14),'[1]Top25BAYH'!$A$5:$C$277,1,FALSE)/'[1]Top25BAYH'!$I$279*100)</f>
        <v>1.403756816804686</v>
      </c>
      <c r="E16" s="10">
        <f>VLOOKUP(LARGE('[1]Top25BAYH'!$A$5:$A$277,14),'[1]Top25BAYH'!$A$5:$P$277,14,FALSE)</f>
        <v>4.2</v>
      </c>
      <c r="F16" s="11">
        <f>VLOOKUP(LARGE('[1]Top25BAYH'!$A$5:$A$277,14),'[1]Top25BAYH'!$A$5:$P$277,15,FALSE)</f>
        <v>13199.93</v>
      </c>
      <c r="G16" s="12">
        <f>VLOOKUP(LARGE('[1]Top25BAYH'!$A$5:$A$277,14),'[1]Top25BAYH'!$A$5:$P$277,10,FALSE)/VLOOKUP(LARGE('[1]Top25BAYH'!$A$5:$A$277,14),'[1]Top25BAYH'!$A$5:$P$277,13,FALSE)*100</f>
        <v>53.23741007194245</v>
      </c>
      <c r="H16" s="13">
        <f>VLOOKUP(LARGE('[1]Top25BAYH'!$A$5:$A$277,14),'[1]Top25BAYH'!$A$5:$P$277,11,FALSE)/VLOOKUP(LARGE('[1]Top25BAYH'!$A$5:$A$277,14),'[1]Top25BAYH'!$A$5:$P$277,13,FALSE)*100</f>
        <v>46.76258992805755</v>
      </c>
      <c r="I16" s="12">
        <f>VLOOKUP(LARGE('[1]Top25BAYH'!$A$5:$A$277,14),'[1]Top25BAYH'!$A$5:$P$277,4,FALSE)/VLOOKUP(LARGE('[1]Top25BAYH'!$A$5:$A$277,14),'[1]Top25BAYH'!$A$5:$P$277,9,FALSE)*100</f>
        <v>6.83453237410072</v>
      </c>
      <c r="J16" s="14">
        <f>VLOOKUP(LARGE('[1]Top25BAYH'!$A$5:$A$277,14),'[1]Top25BAYH'!$A$5:$P$277,5,FALSE)/VLOOKUP(LARGE('[1]Top25BAYH'!$A$5:$A$277,14),'[1]Top25BAYH'!$A$5:$P$277,9,FALSE)*100</f>
        <v>31.294964028776977</v>
      </c>
      <c r="K16" s="14">
        <f>VLOOKUP(LARGE('[1]Top25BAYH'!$A$5:$A$277,14),'[1]Top25BAYH'!$A$5:$P$277,6,FALSE)/VLOOKUP(LARGE('[1]Top25BAYH'!$A$5:$A$277,14),'[1]Top25BAYH'!$A$5:$P$277,9,FALSE)*100</f>
        <v>34.53237410071942</v>
      </c>
      <c r="L16" s="14">
        <f>VLOOKUP(LARGE('[1]Top25BAYH'!$A$5:$A$277,14),'[1]Top25BAYH'!$A$5:$P$277,7,FALSE)/VLOOKUP(LARGE('[1]Top25BAYH'!$A$5:$A$277,14),'[1]Top25BAYH'!$A$5:$P$277,9,FALSE)*100</f>
        <v>27.33812949640288</v>
      </c>
    </row>
    <row r="17" spans="1:12" ht="11.25">
      <c r="A17" s="8" t="str">
        <f>VLOOKUP(LARGE('[1]Top25BAYH'!$A$5:$C$277,15),'[1]Top25BAYH'!$A$5:$C$277,3,FALSE)</f>
        <v>CVA &amp; PRECEREBRAL OCCLUSION  W INFARCT                                            </v>
      </c>
      <c r="B17" s="9">
        <f>VLOOKUP(LARGE('[1]Top25BAYH'!$A$5:$C$277,15),'[1]Top25BAYH'!$A$5:$C$277,1,FALSE)</f>
        <v>263</v>
      </c>
      <c r="C17" s="10">
        <f>VLOOKUP(LARGE('[1]Top25BAYH'!$A$5:$C$277,15),'[1]Top25BAYH'!$A$5:$C$277,1,FALSE)/'[1]Top25BAYH'!$I$278*100</f>
        <v>2.1860194497548004</v>
      </c>
      <c r="D17" s="10">
        <f>(VLOOKUP(LARGE('[1]Top25BAYH'!$A$5:$C$277,15),'[1]Top25BAYH'!$A$5:$C$277,1,FALSE)/'[1]Top25BAYH'!$I$279*100)</f>
        <v>1.3280145425166634</v>
      </c>
      <c r="E17" s="10">
        <f>VLOOKUP(LARGE('[1]Top25BAYH'!$A$5:$A$277,15),'[1]Top25BAYH'!$A$5:$P$277,14,FALSE)</f>
        <v>5.7</v>
      </c>
      <c r="F17" s="11">
        <f>VLOOKUP(LARGE('[1]Top25BAYH'!$A$5:$A$277,15),'[1]Top25BAYH'!$A$5:$P$277,15,FALSE)</f>
        <v>23567.17</v>
      </c>
      <c r="G17" s="12">
        <f>VLOOKUP(LARGE('[1]Top25BAYH'!$A$5:$A$277,15),'[1]Top25BAYH'!$A$5:$P$277,10,FALSE)/VLOOKUP(LARGE('[1]Top25BAYH'!$A$5:$A$277,15),'[1]Top25BAYH'!$A$5:$P$277,13,FALSE)*100</f>
        <v>50.950570342205324</v>
      </c>
      <c r="H17" s="13">
        <f>VLOOKUP(LARGE('[1]Top25BAYH'!$A$5:$A$277,15),'[1]Top25BAYH'!$A$5:$P$277,11,FALSE)/VLOOKUP(LARGE('[1]Top25BAYH'!$A$5:$A$277,15),'[1]Top25BAYH'!$A$5:$P$277,13,FALSE)*100</f>
        <v>49.049429657794676</v>
      </c>
      <c r="I17" s="12">
        <f>VLOOKUP(LARGE('[1]Top25BAYH'!$A$5:$A$277,15),'[1]Top25BAYH'!$A$5:$P$277,4,FALSE)/VLOOKUP(LARGE('[1]Top25BAYH'!$A$5:$A$277,15),'[1]Top25BAYH'!$A$5:$P$277,9,FALSE)*100</f>
        <v>0</v>
      </c>
      <c r="J17" s="14">
        <f>VLOOKUP(LARGE('[1]Top25BAYH'!$A$5:$A$277,15),'[1]Top25BAYH'!$A$5:$P$277,5,FALSE)/VLOOKUP(LARGE('[1]Top25BAYH'!$A$5:$A$277,15),'[1]Top25BAYH'!$A$5:$P$277,9,FALSE)*100</f>
        <v>7.224334600760455</v>
      </c>
      <c r="K17" s="14">
        <f>VLOOKUP(LARGE('[1]Top25BAYH'!$A$5:$A$277,15),'[1]Top25BAYH'!$A$5:$P$277,6,FALSE)/VLOOKUP(LARGE('[1]Top25BAYH'!$A$5:$A$277,15),'[1]Top25BAYH'!$A$5:$P$277,9,FALSE)*100</f>
        <v>30.418250950570343</v>
      </c>
      <c r="L17" s="14">
        <f>VLOOKUP(LARGE('[1]Top25BAYH'!$A$5:$A$277,15),'[1]Top25BAYH'!$A$5:$P$277,7,FALSE)/VLOOKUP(LARGE('[1]Top25BAYH'!$A$5:$A$277,15),'[1]Top25BAYH'!$A$5:$P$277,9,FALSE)*100</f>
        <v>62.3574144486692</v>
      </c>
    </row>
    <row r="18" spans="1:12" ht="11.25">
      <c r="A18" s="8" t="str">
        <f>VLOOKUP(LARGE('[1]Top25BAYH'!$A$5:$C$277,16),'[1]Top25BAYH'!$A$5:$C$277,3,FALSE)</f>
        <v>DIABETES                                                                          </v>
      </c>
      <c r="B18" s="9">
        <f>VLOOKUP(LARGE('[1]Top25BAYH'!$A$5:$C$277,16),'[1]Top25BAYH'!$A$5:$C$277,1,FALSE)</f>
        <v>241</v>
      </c>
      <c r="C18" s="10">
        <f>VLOOKUP(LARGE('[1]Top25BAYH'!$A$5:$C$277,16),'[1]Top25BAYH'!$A$5:$C$277,1,FALSE)/'[1]Top25BAYH'!$I$278*100</f>
        <v>2.0031585071897595</v>
      </c>
      <c r="D18" s="10">
        <f>(VLOOKUP(LARGE('[1]Top25BAYH'!$A$5:$C$277,16),'[1]Top25BAYH'!$A$5:$C$277,1,FALSE)/'[1]Top25BAYH'!$I$279*100)</f>
        <v>1.2169258735608968</v>
      </c>
      <c r="E18" s="10">
        <f>VLOOKUP(LARGE('[1]Top25BAYH'!$A$5:$A$277,16),'[1]Top25BAYH'!$A$5:$P$277,14,FALSE)</f>
        <v>3.7</v>
      </c>
      <c r="F18" s="11">
        <f>VLOOKUP(LARGE('[1]Top25BAYH'!$A$5:$A$277,16),'[1]Top25BAYH'!$A$5:$P$277,15,FALSE)</f>
        <v>13976.45</v>
      </c>
      <c r="G18" s="12">
        <f>VLOOKUP(LARGE('[1]Top25BAYH'!$A$5:$A$277,16),'[1]Top25BAYH'!$A$5:$P$277,10,FALSE)/VLOOKUP(LARGE('[1]Top25BAYH'!$A$5:$A$277,16),'[1]Top25BAYH'!$A$5:$P$277,13,FALSE)*100</f>
        <v>46.058091286307054</v>
      </c>
      <c r="H18" s="13">
        <f>VLOOKUP(LARGE('[1]Top25BAYH'!$A$5:$A$277,16),'[1]Top25BAYH'!$A$5:$P$277,11,FALSE)/VLOOKUP(LARGE('[1]Top25BAYH'!$A$5:$A$277,16),'[1]Top25BAYH'!$A$5:$P$277,13,FALSE)*100</f>
        <v>53.941908713692946</v>
      </c>
      <c r="I18" s="12">
        <f>VLOOKUP(LARGE('[1]Top25BAYH'!$A$5:$A$277,16),'[1]Top25BAYH'!$A$5:$P$277,4,FALSE)/VLOOKUP(LARGE('[1]Top25BAYH'!$A$5:$A$277,16),'[1]Top25BAYH'!$A$5:$P$277,9,FALSE)*100</f>
        <v>4.149377593360995</v>
      </c>
      <c r="J18" s="14">
        <f>VLOOKUP(LARGE('[1]Top25BAYH'!$A$5:$A$277,16),'[1]Top25BAYH'!$A$5:$P$277,5,FALSE)/VLOOKUP(LARGE('[1]Top25BAYH'!$A$5:$A$277,16),'[1]Top25BAYH'!$A$5:$P$277,9,FALSE)*100</f>
        <v>40.66390041493776</v>
      </c>
      <c r="K18" s="14">
        <f>VLOOKUP(LARGE('[1]Top25BAYH'!$A$5:$A$277,16),'[1]Top25BAYH'!$A$5:$P$277,6,FALSE)/VLOOKUP(LARGE('[1]Top25BAYH'!$A$5:$A$277,16),'[1]Top25BAYH'!$A$5:$P$277,9,FALSE)*100</f>
        <v>34.024896265560166</v>
      </c>
      <c r="L18" s="14">
        <f>VLOOKUP(LARGE('[1]Top25BAYH'!$A$5:$A$277,16),'[1]Top25BAYH'!$A$5:$P$277,7,FALSE)/VLOOKUP(LARGE('[1]Top25BAYH'!$A$5:$A$277,16),'[1]Top25BAYH'!$A$5:$P$277,9,FALSE)*100</f>
        <v>21.16182572614108</v>
      </c>
    </row>
    <row r="19" spans="1:12" ht="11.25">
      <c r="A19" s="8" t="str">
        <f>VLOOKUP(LARGE('[1]Top25BAYH'!$A$5:$C$277,17),'[1]Top25BAYH'!$A$5:$C$277,3,FALSE)</f>
        <v>OTHER &amp; UNSPECIFIED GASTROINTESTINAL HEMORRHAGE                                   </v>
      </c>
      <c r="B19" s="9">
        <f>VLOOKUP(LARGE('[1]Top25BAYH'!$A$5:$C$277,17),'[1]Top25BAYH'!$A$5:$C$277,1,FALSE)</f>
        <v>230</v>
      </c>
      <c r="C19" s="10">
        <f>VLOOKUP(LARGE('[1]Top25BAYH'!$A$5:$C$277,17),'[1]Top25BAYH'!$A$5:$C$277,1,FALSE)/'[1]Top25BAYH'!$I$278*100</f>
        <v>1.9117280359072397</v>
      </c>
      <c r="D19" s="10">
        <f>(VLOOKUP(LARGE('[1]Top25BAYH'!$A$5:$C$277,17),'[1]Top25BAYH'!$A$5:$C$277,1,FALSE)/'[1]Top25BAYH'!$I$279*100)</f>
        <v>1.1613815390830136</v>
      </c>
      <c r="E19" s="10">
        <f>VLOOKUP(LARGE('[1]Top25BAYH'!$A$5:$A$277,17),'[1]Top25BAYH'!$A$5:$P$277,14,FALSE)</f>
        <v>5.1</v>
      </c>
      <c r="F19" s="11">
        <f>VLOOKUP(LARGE('[1]Top25BAYH'!$A$5:$A$277,17),'[1]Top25BAYH'!$A$5:$P$277,15,FALSE)</f>
        <v>21531.03</v>
      </c>
      <c r="G19" s="12">
        <f>VLOOKUP(LARGE('[1]Top25BAYH'!$A$5:$A$277,17),'[1]Top25BAYH'!$A$5:$P$277,10,FALSE)/VLOOKUP(LARGE('[1]Top25BAYH'!$A$5:$A$277,17),'[1]Top25BAYH'!$A$5:$P$277,13,FALSE)*100</f>
        <v>53.47826086956522</v>
      </c>
      <c r="H19" s="13">
        <f>VLOOKUP(LARGE('[1]Top25BAYH'!$A$5:$A$277,17),'[1]Top25BAYH'!$A$5:$P$277,11,FALSE)/VLOOKUP(LARGE('[1]Top25BAYH'!$A$5:$A$277,17),'[1]Top25BAYH'!$A$5:$P$277,13,FALSE)*100</f>
        <v>46.52173913043478</v>
      </c>
      <c r="I19" s="12">
        <f>VLOOKUP(LARGE('[1]Top25BAYH'!$A$5:$A$277,17),'[1]Top25BAYH'!$A$5:$P$277,4,FALSE)/VLOOKUP(LARGE('[1]Top25BAYH'!$A$5:$A$277,17),'[1]Top25BAYH'!$A$5:$P$277,9,FALSE)*100</f>
        <v>0.43478260869565216</v>
      </c>
      <c r="J19" s="14">
        <f>VLOOKUP(LARGE('[1]Top25BAYH'!$A$5:$A$277,17),'[1]Top25BAYH'!$A$5:$P$277,5,FALSE)/VLOOKUP(LARGE('[1]Top25BAYH'!$A$5:$A$277,17),'[1]Top25BAYH'!$A$5:$P$277,9,FALSE)*100</f>
        <v>5.6521739130434785</v>
      </c>
      <c r="K19" s="14">
        <f>VLOOKUP(LARGE('[1]Top25BAYH'!$A$5:$A$277,17),'[1]Top25BAYH'!$A$5:$P$277,6,FALSE)/VLOOKUP(LARGE('[1]Top25BAYH'!$A$5:$A$277,17),'[1]Top25BAYH'!$A$5:$P$277,9,FALSE)*100</f>
        <v>24.347826086956523</v>
      </c>
      <c r="L19" s="14">
        <f>VLOOKUP(LARGE('[1]Top25BAYH'!$A$5:$A$277,17),'[1]Top25BAYH'!$A$5:$P$277,7,FALSE)/VLOOKUP(LARGE('[1]Top25BAYH'!$A$5:$A$277,17),'[1]Top25BAYH'!$A$5:$P$277,9,FALSE)*100</f>
        <v>69.56521739130434</v>
      </c>
    </row>
    <row r="20" spans="1:12" ht="11.25">
      <c r="A20" s="8" t="str">
        <f>VLOOKUP(LARGE('[1]Top25BAYH'!$A$5:$C$277,18),'[1]Top25BAYH'!$A$5:$C$277,3,FALSE)</f>
        <v>PERCUTANEOUS CARDIOVASCULAR PROCEDURES W/O AMI                                    </v>
      </c>
      <c r="B20" s="9">
        <f>VLOOKUP(LARGE('[1]Top25BAYH'!$A$5:$C$277,18),'[1]Top25BAYH'!$A$5:$C$277,1,FALSE)</f>
        <v>229</v>
      </c>
      <c r="C20" s="10">
        <f>VLOOKUP(LARGE('[1]Top25BAYH'!$A$5:$C$277,18),'[1]Top25BAYH'!$A$5:$C$277,1,FALSE)/'[1]Top25BAYH'!$I$278*100</f>
        <v>1.903416174881556</v>
      </c>
      <c r="D20" s="10">
        <f>(VLOOKUP(LARGE('[1]Top25BAYH'!$A$5:$C$277,18),'[1]Top25BAYH'!$A$5:$C$277,1,FALSE)/'[1]Top25BAYH'!$I$279*100)</f>
        <v>1.1563320541304787</v>
      </c>
      <c r="E20" s="10">
        <f>VLOOKUP(LARGE('[1]Top25BAYH'!$A$5:$A$277,18),'[1]Top25BAYH'!$A$5:$P$277,14,FALSE)</f>
        <v>2.2</v>
      </c>
      <c r="F20" s="11">
        <f>VLOOKUP(LARGE('[1]Top25BAYH'!$A$5:$A$277,18),'[1]Top25BAYH'!$A$5:$P$277,15,FALSE)</f>
        <v>41431.47</v>
      </c>
      <c r="G20" s="12">
        <f>VLOOKUP(LARGE('[1]Top25BAYH'!$A$5:$A$277,18),'[1]Top25BAYH'!$A$5:$P$277,10,FALSE)/VLOOKUP(LARGE('[1]Top25BAYH'!$A$5:$A$277,18),'[1]Top25BAYH'!$A$5:$P$277,13,FALSE)*100</f>
        <v>63.75545851528385</v>
      </c>
      <c r="H20" s="13">
        <f>VLOOKUP(LARGE('[1]Top25BAYH'!$A$5:$A$277,18),'[1]Top25BAYH'!$A$5:$P$277,11,FALSE)/VLOOKUP(LARGE('[1]Top25BAYH'!$A$5:$A$277,18),'[1]Top25BAYH'!$A$5:$P$277,13,FALSE)*100</f>
        <v>36.24454148471616</v>
      </c>
      <c r="I20" s="12">
        <f>VLOOKUP(LARGE('[1]Top25BAYH'!$A$5:$A$277,18),'[1]Top25BAYH'!$A$5:$P$277,4,FALSE)/VLOOKUP(LARGE('[1]Top25BAYH'!$A$5:$A$277,18),'[1]Top25BAYH'!$A$5:$P$277,9,FALSE)*100</f>
        <v>0</v>
      </c>
      <c r="J20" s="14">
        <f>VLOOKUP(LARGE('[1]Top25BAYH'!$A$5:$A$277,18),'[1]Top25BAYH'!$A$5:$P$277,5,FALSE)/VLOOKUP(LARGE('[1]Top25BAYH'!$A$5:$A$277,18),'[1]Top25BAYH'!$A$5:$P$277,9,FALSE)*100</f>
        <v>3.9301310043668125</v>
      </c>
      <c r="K20" s="14">
        <f>VLOOKUP(LARGE('[1]Top25BAYH'!$A$5:$A$277,18),'[1]Top25BAYH'!$A$5:$P$277,6,FALSE)/VLOOKUP(LARGE('[1]Top25BAYH'!$A$5:$A$277,18),'[1]Top25BAYH'!$A$5:$P$277,9,FALSE)*100</f>
        <v>45.414847161572055</v>
      </c>
      <c r="L20" s="14">
        <f>VLOOKUP(LARGE('[1]Top25BAYH'!$A$5:$A$277,18),'[1]Top25BAYH'!$A$5:$P$277,7,FALSE)/VLOOKUP(LARGE('[1]Top25BAYH'!$A$5:$A$277,18),'[1]Top25BAYH'!$A$5:$P$277,9,FALSE)*100</f>
        <v>50.65502183406113</v>
      </c>
    </row>
    <row r="21" spans="1:12" ht="11.25">
      <c r="A21" s="8" t="str">
        <f>VLOOKUP(LARGE('[1]Top25BAYH'!$A$5:$C$277,19),'[1]Top25BAYH'!$A$5:$C$277,3,FALSE)</f>
        <v>ACUTE MYOCARDIAL INFARCTION                                                       </v>
      </c>
      <c r="B21" s="9">
        <f>VLOOKUP(LARGE('[1]Top25BAYH'!$A$5:$C$277,19),'[1]Top25BAYH'!$A$5:$C$277,1,FALSE)</f>
        <v>214</v>
      </c>
      <c r="C21" s="10">
        <f>VLOOKUP(LARGE('[1]Top25BAYH'!$A$5:$C$277,19),'[1]Top25BAYH'!$A$5:$C$277,1,FALSE)/'[1]Top25BAYH'!$I$278*100</f>
        <v>1.7787382594963015</v>
      </c>
      <c r="D21" s="10">
        <f>(VLOOKUP(LARGE('[1]Top25BAYH'!$A$5:$C$277,19),'[1]Top25BAYH'!$A$5:$C$277,1,FALSE)/'[1]Top25BAYH'!$I$279*100)</f>
        <v>1.0805897798424562</v>
      </c>
      <c r="E21" s="10">
        <f>VLOOKUP(LARGE('[1]Top25BAYH'!$A$5:$A$277,19),'[1]Top25BAYH'!$A$5:$P$277,14,FALSE)</f>
        <v>4.7</v>
      </c>
      <c r="F21" s="11">
        <f>VLOOKUP(LARGE('[1]Top25BAYH'!$A$5:$A$277,19),'[1]Top25BAYH'!$A$5:$P$277,15,FALSE)</f>
        <v>23539.14</v>
      </c>
      <c r="G21" s="12">
        <f>VLOOKUP(LARGE('[1]Top25BAYH'!$A$5:$A$277,19),'[1]Top25BAYH'!$A$5:$P$277,10,FALSE)/VLOOKUP(LARGE('[1]Top25BAYH'!$A$5:$A$277,19),'[1]Top25BAYH'!$A$5:$P$277,13,FALSE)*100</f>
        <v>49.06542056074766</v>
      </c>
      <c r="H21" s="13">
        <f>VLOOKUP(LARGE('[1]Top25BAYH'!$A$5:$A$277,19),'[1]Top25BAYH'!$A$5:$P$277,11,FALSE)/VLOOKUP(LARGE('[1]Top25BAYH'!$A$5:$A$277,19),'[1]Top25BAYH'!$A$5:$P$277,13,FALSE)*100</f>
        <v>50.93457943925234</v>
      </c>
      <c r="I21" s="12">
        <f>VLOOKUP(LARGE('[1]Top25BAYH'!$A$5:$A$277,19),'[1]Top25BAYH'!$A$5:$P$277,4,FALSE)/VLOOKUP(LARGE('[1]Top25BAYH'!$A$5:$A$277,19),'[1]Top25BAYH'!$A$5:$P$277,9,FALSE)*100</f>
        <v>0</v>
      </c>
      <c r="J21" s="14">
        <f>VLOOKUP(LARGE('[1]Top25BAYH'!$A$5:$A$277,19),'[1]Top25BAYH'!$A$5:$P$277,5,FALSE)/VLOOKUP(LARGE('[1]Top25BAYH'!$A$5:$A$277,19),'[1]Top25BAYH'!$A$5:$P$277,9,FALSE)*100</f>
        <v>6.5420560747663545</v>
      </c>
      <c r="K21" s="14">
        <f>VLOOKUP(LARGE('[1]Top25BAYH'!$A$5:$A$277,19),'[1]Top25BAYH'!$A$5:$P$277,6,FALSE)/VLOOKUP(LARGE('[1]Top25BAYH'!$A$5:$A$277,19),'[1]Top25BAYH'!$A$5:$P$277,9,FALSE)*100</f>
        <v>26.635514018691588</v>
      </c>
      <c r="L21" s="14">
        <f>VLOOKUP(LARGE('[1]Top25BAYH'!$A$5:$A$277,19),'[1]Top25BAYH'!$A$5:$P$277,7,FALSE)/VLOOKUP(LARGE('[1]Top25BAYH'!$A$5:$A$277,19),'[1]Top25BAYH'!$A$5:$P$277,9,FALSE)*100</f>
        <v>66.82242990654206</v>
      </c>
    </row>
    <row r="22" spans="1:12" ht="11.25">
      <c r="A22" s="8" t="str">
        <f>VLOOKUP(LARGE('[1]Top25BAYH'!$A$5:$C$277,20),'[1]Top25BAYH'!$A$5:$C$277,3,FALSE)</f>
        <v>ASTHMA                                                                            </v>
      </c>
      <c r="B22" s="9">
        <f>VLOOKUP(LARGE('[1]Top25BAYH'!$A$5:$C$277,20),'[1]Top25BAYH'!$A$5:$C$277,1,FALSE)</f>
        <v>211</v>
      </c>
      <c r="C22" s="10">
        <f>VLOOKUP(LARGE('[1]Top25BAYH'!$A$5:$C$277,20),'[1]Top25BAYH'!$A$5:$C$277,1,FALSE)/'[1]Top25BAYH'!$I$278*100</f>
        <v>1.7538026764192503</v>
      </c>
      <c r="D22" s="10">
        <f>(VLOOKUP(LARGE('[1]Top25BAYH'!$A$5:$C$277,20),'[1]Top25BAYH'!$A$5:$C$277,1,FALSE)/'[1]Top25BAYH'!$I$279*100)</f>
        <v>1.0654413249848516</v>
      </c>
      <c r="E22" s="10">
        <f>VLOOKUP(LARGE('[1]Top25BAYH'!$A$5:$A$277,20),'[1]Top25BAYH'!$A$5:$P$277,14,FALSE)</f>
        <v>2.8</v>
      </c>
      <c r="F22" s="11">
        <f>VLOOKUP(LARGE('[1]Top25BAYH'!$A$5:$A$277,20),'[1]Top25BAYH'!$A$5:$P$277,15,FALSE)</f>
        <v>8891.91</v>
      </c>
      <c r="G22" s="12">
        <f>VLOOKUP(LARGE('[1]Top25BAYH'!$A$5:$A$277,20),'[1]Top25BAYH'!$A$5:$P$277,10,FALSE)/VLOOKUP(LARGE('[1]Top25BAYH'!$A$5:$A$277,20),'[1]Top25BAYH'!$A$5:$P$277,13,FALSE)*100</f>
        <v>48.34123222748815</v>
      </c>
      <c r="H22" s="13">
        <f>VLOOKUP(LARGE('[1]Top25BAYH'!$A$5:$A$277,20),'[1]Top25BAYH'!$A$5:$P$277,11,FALSE)/VLOOKUP(LARGE('[1]Top25BAYH'!$A$5:$A$277,20),'[1]Top25BAYH'!$A$5:$P$277,13,FALSE)*100</f>
        <v>51.65876777251185</v>
      </c>
      <c r="I22" s="12">
        <f>VLOOKUP(LARGE('[1]Top25BAYH'!$A$5:$A$277,20),'[1]Top25BAYH'!$A$5:$P$277,4,FALSE)/VLOOKUP(LARGE('[1]Top25BAYH'!$A$5:$A$277,20),'[1]Top25BAYH'!$A$5:$P$277,9,FALSE)*100</f>
        <v>47.867298578199055</v>
      </c>
      <c r="J22" s="14">
        <f>VLOOKUP(LARGE('[1]Top25BAYH'!$A$5:$A$277,20),'[1]Top25BAYH'!$A$5:$P$277,5,FALSE)/VLOOKUP(LARGE('[1]Top25BAYH'!$A$5:$A$277,20),'[1]Top25BAYH'!$A$5:$P$277,9,FALSE)*100</f>
        <v>25.59241706161137</v>
      </c>
      <c r="K22" s="14">
        <f>VLOOKUP(LARGE('[1]Top25BAYH'!$A$5:$A$277,20),'[1]Top25BAYH'!$A$5:$P$277,6,FALSE)/VLOOKUP(LARGE('[1]Top25BAYH'!$A$5:$A$277,20),'[1]Top25BAYH'!$A$5:$P$277,9,FALSE)*100</f>
        <v>21.80094786729858</v>
      </c>
      <c r="L22" s="14">
        <f>VLOOKUP(LARGE('[1]Top25BAYH'!$A$5:$A$277,20),'[1]Top25BAYH'!$A$5:$P$277,7,FALSE)/VLOOKUP(LARGE('[1]Top25BAYH'!$A$5:$A$277,20),'[1]Top25BAYH'!$A$5:$P$277,9,FALSE)*100</f>
        <v>4.739336492890995</v>
      </c>
    </row>
    <row r="23" spans="1:12" ht="11.25">
      <c r="A23" s="8" t="str">
        <f>VLOOKUP(LARGE('[1]Top25BAYH'!$A$5:$C$277,21),'[1]Top25BAYH'!$A$5:$C$277,3,FALSE)</f>
        <v>INTESTINAL OBSTRUCTION                                                            </v>
      </c>
      <c r="B23" s="9">
        <f>VLOOKUP(LARGE('[1]Top25BAYH'!$A$5:$C$277,21),'[1]Top25BAYH'!$A$5:$C$277,1,FALSE)</f>
        <v>205.001</v>
      </c>
      <c r="C23" s="10">
        <f>VLOOKUP(LARGE('[1]Top25BAYH'!$A$5:$C$277,21),'[1]Top25BAYH'!$A$5:$C$277,1,FALSE)/'[1]Top25BAYH'!$I$278*100</f>
        <v>1.7039398221261743</v>
      </c>
      <c r="D23" s="10">
        <f>(VLOOKUP(LARGE('[1]Top25BAYH'!$A$5:$C$277,21),'[1]Top25BAYH'!$A$5:$C$277,1,FALSE)/'[1]Top25BAYH'!$I$279*100)</f>
        <v>1.035149464754595</v>
      </c>
      <c r="E23" s="10">
        <f>VLOOKUP(LARGE('[1]Top25BAYH'!$A$5:$A$277,21),'[1]Top25BAYH'!$A$5:$P$277,14,FALSE)</f>
        <v>5.8</v>
      </c>
      <c r="F23" s="11">
        <f>VLOOKUP(LARGE('[1]Top25BAYH'!$A$5:$A$277,21),'[1]Top25BAYH'!$A$5:$P$277,15,FALSE)</f>
        <v>17743.55</v>
      </c>
      <c r="G23" s="12">
        <f>VLOOKUP(LARGE('[1]Top25BAYH'!$A$5:$A$277,21),'[1]Top25BAYH'!$A$5:$P$277,10,FALSE)/VLOOKUP(LARGE('[1]Top25BAYH'!$A$5:$A$277,21),'[1]Top25BAYH'!$A$5:$P$277,13,FALSE)*100</f>
        <v>47.80487804878049</v>
      </c>
      <c r="H23" s="13">
        <f>VLOOKUP(LARGE('[1]Top25BAYH'!$A$5:$A$277,21),'[1]Top25BAYH'!$A$5:$P$277,11,FALSE)/VLOOKUP(LARGE('[1]Top25BAYH'!$A$5:$A$277,21),'[1]Top25BAYH'!$A$5:$P$277,13,FALSE)*100</f>
        <v>52.19512195121951</v>
      </c>
      <c r="I23" s="12">
        <f>VLOOKUP(LARGE('[1]Top25BAYH'!$A$5:$A$277,21),'[1]Top25BAYH'!$A$5:$P$277,4,FALSE)/VLOOKUP(LARGE('[1]Top25BAYH'!$A$5:$A$277,21),'[1]Top25BAYH'!$A$5:$P$277,9,FALSE)*100</f>
        <v>0.4878048780487805</v>
      </c>
      <c r="J23" s="14">
        <f>VLOOKUP(LARGE('[1]Top25BAYH'!$A$5:$A$277,21),'[1]Top25BAYH'!$A$5:$P$277,5,FALSE)/VLOOKUP(LARGE('[1]Top25BAYH'!$A$5:$A$277,21),'[1]Top25BAYH'!$A$5:$P$277,9,FALSE)*100</f>
        <v>13.170731707317074</v>
      </c>
      <c r="K23" s="14">
        <f>VLOOKUP(LARGE('[1]Top25BAYH'!$A$5:$A$277,21),'[1]Top25BAYH'!$A$5:$P$277,6,FALSE)/VLOOKUP(LARGE('[1]Top25BAYH'!$A$5:$A$277,21),'[1]Top25BAYH'!$A$5:$P$277,9,FALSE)*100</f>
        <v>26.82926829268293</v>
      </c>
      <c r="L23" s="14">
        <f>VLOOKUP(LARGE('[1]Top25BAYH'!$A$5:$A$277,21),'[1]Top25BAYH'!$A$5:$P$277,7,FALSE)/VLOOKUP(LARGE('[1]Top25BAYH'!$A$5:$A$277,21),'[1]Top25BAYH'!$A$5:$P$277,9,FALSE)*100</f>
        <v>59.512195121951216</v>
      </c>
    </row>
    <row r="24" spans="1:12" ht="11.25">
      <c r="A24" s="8" t="str">
        <f>VLOOKUP(LARGE('[1]Top25BAYH'!$A$5:$C$277,22),'[1]Top25BAYH'!$A$5:$C$277,3,FALSE)</f>
        <v>PERCUTANEOUS CARDIOVASCULAR PROCEDURES W AMI                                      </v>
      </c>
      <c r="B24" s="9">
        <f>VLOOKUP(LARGE('[1]Top25BAYH'!$A$5:$C$277,22),'[1]Top25BAYH'!$A$5:$C$277,1,FALSE)</f>
        <v>205</v>
      </c>
      <c r="C24" s="10">
        <f>VLOOKUP(LARGE('[1]Top25BAYH'!$A$5:$C$277,22),'[1]Top25BAYH'!$A$5:$C$277,1,FALSE)/'[1]Top25BAYH'!$I$278*100</f>
        <v>1.7039315102651484</v>
      </c>
      <c r="D24" s="10">
        <f>(VLOOKUP(LARGE('[1]Top25BAYH'!$A$5:$C$277,22),'[1]Top25BAYH'!$A$5:$C$277,1,FALSE)/'[1]Top25BAYH'!$I$279*100)</f>
        <v>1.0351444152696425</v>
      </c>
      <c r="E24" s="10">
        <f>VLOOKUP(LARGE('[1]Top25BAYH'!$A$5:$A$277,22),'[1]Top25BAYH'!$A$5:$P$277,14,FALSE)</f>
        <v>3.2</v>
      </c>
      <c r="F24" s="11">
        <f>VLOOKUP(LARGE('[1]Top25BAYH'!$A$5:$A$277,22),'[1]Top25BAYH'!$A$5:$P$277,15,FALSE)</f>
        <v>50931.42</v>
      </c>
      <c r="G24" s="12">
        <f>VLOOKUP(LARGE('[1]Top25BAYH'!$A$5:$A$277,22),'[1]Top25BAYH'!$A$5:$P$277,10,FALSE)/VLOOKUP(LARGE('[1]Top25BAYH'!$A$5:$A$277,22),'[1]Top25BAYH'!$A$5:$P$277,13,FALSE)*100</f>
        <v>67.31707317073172</v>
      </c>
      <c r="H24" s="13">
        <f>VLOOKUP(LARGE('[1]Top25BAYH'!$A$5:$A$277,22),'[1]Top25BAYH'!$A$5:$P$277,11,FALSE)/VLOOKUP(LARGE('[1]Top25BAYH'!$A$5:$A$277,22),'[1]Top25BAYH'!$A$5:$P$277,13,FALSE)*100</f>
        <v>32.6829268292683</v>
      </c>
      <c r="I24" s="12">
        <f>VLOOKUP(LARGE('[1]Top25BAYH'!$A$5:$A$277,22),'[1]Top25BAYH'!$A$5:$P$277,4,FALSE)/VLOOKUP(LARGE('[1]Top25BAYH'!$A$5:$A$277,22),'[1]Top25BAYH'!$A$5:$P$277,9,FALSE)*100</f>
        <v>0</v>
      </c>
      <c r="J24" s="14">
        <f>VLOOKUP(LARGE('[1]Top25BAYH'!$A$5:$A$277,22),'[1]Top25BAYH'!$A$5:$P$277,5,FALSE)/VLOOKUP(LARGE('[1]Top25BAYH'!$A$5:$A$277,22),'[1]Top25BAYH'!$A$5:$P$277,9,FALSE)*100</f>
        <v>12.682926829268293</v>
      </c>
      <c r="K24" s="14">
        <f>VLOOKUP(LARGE('[1]Top25BAYH'!$A$5:$A$277,22),'[1]Top25BAYH'!$A$5:$P$277,6,FALSE)/VLOOKUP(LARGE('[1]Top25BAYH'!$A$5:$A$277,22),'[1]Top25BAYH'!$A$5:$P$277,9,FALSE)*100</f>
        <v>47.80487804878049</v>
      </c>
      <c r="L24" s="14">
        <f>VLOOKUP(LARGE('[1]Top25BAYH'!$A$5:$A$277,22),'[1]Top25BAYH'!$A$5:$P$277,7,FALSE)/VLOOKUP(LARGE('[1]Top25BAYH'!$A$5:$A$277,22),'[1]Top25BAYH'!$A$5:$P$277,9,FALSE)*100</f>
        <v>39.51219512195122</v>
      </c>
    </row>
    <row r="25" spans="1:12" ht="11.25">
      <c r="A25" s="8" t="str">
        <f>VLOOKUP(LARGE('[1]Top25BAYH'!$A$5:$C$277,23),'[1]Top25BAYH'!$A$5:$C$277,3,FALSE)</f>
        <v>NON-BACTERIAL GASTROENTERITIS, NAUSEA &amp; VOMITING                                  </v>
      </c>
      <c r="B25" s="9">
        <f>VLOOKUP(LARGE('[1]Top25BAYH'!$A$5:$C$277,23),'[1]Top25BAYH'!$A$5:$C$277,1,FALSE)</f>
        <v>188</v>
      </c>
      <c r="C25" s="10">
        <f>VLOOKUP(LARGE('[1]Top25BAYH'!$A$5:$C$277,23),'[1]Top25BAYH'!$A$5:$C$277,1,FALSE)/'[1]Top25BAYH'!$I$278*100</f>
        <v>1.5626298728285262</v>
      </c>
      <c r="D25" s="10">
        <f>(VLOOKUP(LARGE('[1]Top25BAYH'!$A$5:$C$277,23),'[1]Top25BAYH'!$A$5:$C$277,1,FALSE)/'[1]Top25BAYH'!$I$279*100)</f>
        <v>0.9493031710765503</v>
      </c>
      <c r="E25" s="10">
        <f>VLOOKUP(LARGE('[1]Top25BAYH'!$A$5:$A$277,23),'[1]Top25BAYH'!$A$5:$P$277,14,FALSE)</f>
        <v>3</v>
      </c>
      <c r="F25" s="11">
        <f>VLOOKUP(LARGE('[1]Top25BAYH'!$A$5:$A$277,23),'[1]Top25BAYH'!$A$5:$P$277,15,FALSE)</f>
        <v>12572.54</v>
      </c>
      <c r="G25" s="12">
        <f>VLOOKUP(LARGE('[1]Top25BAYH'!$A$5:$A$277,23),'[1]Top25BAYH'!$A$5:$P$277,10,FALSE)/VLOOKUP(LARGE('[1]Top25BAYH'!$A$5:$A$277,23),'[1]Top25BAYH'!$A$5:$P$277,13,FALSE)*100</f>
        <v>32.4468085106383</v>
      </c>
      <c r="H25" s="13">
        <f>VLOOKUP(LARGE('[1]Top25BAYH'!$A$5:$A$277,23),'[1]Top25BAYH'!$A$5:$P$277,11,FALSE)/VLOOKUP(LARGE('[1]Top25BAYH'!$A$5:$A$277,23),'[1]Top25BAYH'!$A$5:$P$277,13,FALSE)*100</f>
        <v>67.5531914893617</v>
      </c>
      <c r="I25" s="12">
        <f>VLOOKUP(LARGE('[1]Top25BAYH'!$A$5:$A$277,23),'[1]Top25BAYH'!$A$5:$P$277,4,FALSE)/VLOOKUP(LARGE('[1]Top25BAYH'!$A$5:$A$277,23),'[1]Top25BAYH'!$A$5:$P$277,9,FALSE)*100</f>
        <v>18.617021276595743</v>
      </c>
      <c r="J25" s="14">
        <f>VLOOKUP(LARGE('[1]Top25BAYH'!$A$5:$A$277,23),'[1]Top25BAYH'!$A$5:$P$277,5,FALSE)/VLOOKUP(LARGE('[1]Top25BAYH'!$A$5:$A$277,23),'[1]Top25BAYH'!$A$5:$P$277,9,FALSE)*100</f>
        <v>20.212765957446805</v>
      </c>
      <c r="K25" s="14">
        <f>VLOOKUP(LARGE('[1]Top25BAYH'!$A$5:$A$277,23),'[1]Top25BAYH'!$A$5:$P$277,6,FALSE)/VLOOKUP(LARGE('[1]Top25BAYH'!$A$5:$A$277,23),'[1]Top25BAYH'!$A$5:$P$277,9,FALSE)*100</f>
        <v>35.1063829787234</v>
      </c>
      <c r="L25" s="14">
        <f>VLOOKUP(LARGE('[1]Top25BAYH'!$A$5:$A$277,23),'[1]Top25BAYH'!$A$5:$P$277,7,FALSE)/VLOOKUP(LARGE('[1]Top25BAYH'!$A$5:$A$277,23),'[1]Top25BAYH'!$A$5:$P$277,9,FALSE)*100</f>
        <v>26.063829787234045</v>
      </c>
    </row>
    <row r="26" spans="1:12" ht="11.25">
      <c r="A26" s="8" t="str">
        <f>VLOOKUP(LARGE('[1]Top25BAYH'!$A$5:$C$277,24),'[1]Top25BAYH'!$A$5:$C$277,3,FALSE)</f>
        <v>POISONING OF MEDICINAL AGENTS                                                     </v>
      </c>
      <c r="B26" s="9">
        <f>VLOOKUP(LARGE('[1]Top25BAYH'!$A$5:$C$277,24),'[1]Top25BAYH'!$A$5:$C$277,1,FALSE)</f>
        <v>180</v>
      </c>
      <c r="C26" s="10">
        <f>VLOOKUP(LARGE('[1]Top25BAYH'!$A$5:$C$277,24),'[1]Top25BAYH'!$A$5:$C$277,1,FALSE)/'[1]Top25BAYH'!$I$278*100</f>
        <v>1.496134984623057</v>
      </c>
      <c r="D26" s="10">
        <f>(VLOOKUP(LARGE('[1]Top25BAYH'!$A$5:$C$277,24),'[1]Top25BAYH'!$A$5:$C$277,1,FALSE)/'[1]Top25BAYH'!$I$279*100)</f>
        <v>0.9089072914562714</v>
      </c>
      <c r="E26" s="10">
        <f>VLOOKUP(LARGE('[1]Top25BAYH'!$A$5:$A$277,24),'[1]Top25BAYH'!$A$5:$P$277,14,FALSE)</f>
        <v>3</v>
      </c>
      <c r="F26" s="11">
        <f>VLOOKUP(LARGE('[1]Top25BAYH'!$A$5:$A$277,24),'[1]Top25BAYH'!$A$5:$P$277,15,FALSE)</f>
        <v>13530.6</v>
      </c>
      <c r="G26" s="12">
        <f>VLOOKUP(LARGE('[1]Top25BAYH'!$A$5:$A$277,24),'[1]Top25BAYH'!$A$5:$P$277,10,FALSE)/VLOOKUP(LARGE('[1]Top25BAYH'!$A$5:$A$277,24),'[1]Top25BAYH'!$A$5:$P$277,13,FALSE)*100</f>
        <v>43.333333333333336</v>
      </c>
      <c r="H26" s="13">
        <f>VLOOKUP(LARGE('[1]Top25BAYH'!$A$5:$A$277,24),'[1]Top25BAYH'!$A$5:$P$277,11,FALSE)/VLOOKUP(LARGE('[1]Top25BAYH'!$A$5:$A$277,24),'[1]Top25BAYH'!$A$5:$P$277,13,FALSE)*100</f>
        <v>56.666666666666664</v>
      </c>
      <c r="I26" s="12">
        <f>VLOOKUP(LARGE('[1]Top25BAYH'!$A$5:$A$277,24),'[1]Top25BAYH'!$A$5:$P$277,4,FALSE)/VLOOKUP(LARGE('[1]Top25BAYH'!$A$5:$A$277,24),'[1]Top25BAYH'!$A$5:$P$277,9,FALSE)*100</f>
        <v>3.3333333333333335</v>
      </c>
      <c r="J26" s="14">
        <f>VLOOKUP(LARGE('[1]Top25BAYH'!$A$5:$A$277,24),'[1]Top25BAYH'!$A$5:$P$277,5,FALSE)/VLOOKUP(LARGE('[1]Top25BAYH'!$A$5:$A$277,24),'[1]Top25BAYH'!$A$5:$P$277,9,FALSE)*100</f>
        <v>57.22222222222222</v>
      </c>
      <c r="K26" s="14">
        <f>VLOOKUP(LARGE('[1]Top25BAYH'!$A$5:$A$277,24),'[1]Top25BAYH'!$A$5:$P$277,6,FALSE)/VLOOKUP(LARGE('[1]Top25BAYH'!$A$5:$A$277,24),'[1]Top25BAYH'!$A$5:$P$277,9,FALSE)*100</f>
        <v>28.333333333333332</v>
      </c>
      <c r="L26" s="14">
        <f>VLOOKUP(LARGE('[1]Top25BAYH'!$A$5:$A$277,24),'[1]Top25BAYH'!$A$5:$P$277,7,FALSE)/VLOOKUP(LARGE('[1]Top25BAYH'!$A$5:$A$277,24),'[1]Top25BAYH'!$A$5:$P$277,9,FALSE)*100</f>
        <v>11.11111111111111</v>
      </c>
    </row>
    <row r="27" spans="1:12" ht="12" thickBot="1">
      <c r="A27" s="15" t="str">
        <f>VLOOKUP(LARGE('[1]Top25BAYH'!$A$5:$C$277,25),'[1]Top25BAYH'!$A$5:$C$277,3,FALSE)</f>
        <v>MAJOR SMALL &amp; LARGE BOWEL PROCEDURES                                              </v>
      </c>
      <c r="B27" s="16">
        <f>VLOOKUP(LARGE('[1]Top25BAYH'!$A$5:$C$277,25),'[1]Top25BAYH'!$A$5:$C$277,1,FALSE)</f>
        <v>168</v>
      </c>
      <c r="C27" s="17">
        <f>VLOOKUP(LARGE('[1]Top25BAYH'!$A$5:$C$277,25),'[1]Top25BAYH'!$A$5:$C$277,1,FALSE)/'[1]Top25BAYH'!$I$278*100</f>
        <v>1.3963926523148533</v>
      </c>
      <c r="D27" s="17">
        <f>(VLOOKUP(LARGE('[1]Top25BAYH'!$A$5:$C$277,25),'[1]Top25BAYH'!$A$5:$C$277,1,FALSE)/'[1]Top25BAYH'!$I$279*100)</f>
        <v>0.8483134720258533</v>
      </c>
      <c r="E27" s="17">
        <f>VLOOKUP(LARGE('[1]Top25BAYH'!$A$5:$A$277,25),'[1]Top25BAYH'!$A$5:$P$277,14,FALSE)</f>
        <v>9.4</v>
      </c>
      <c r="F27" s="18">
        <f>VLOOKUP(LARGE('[1]Top25BAYH'!$A$5:$A$277,25),'[1]Top25BAYH'!$A$5:$P$277,15,FALSE)</f>
        <v>46825.5</v>
      </c>
      <c r="G27" s="19">
        <f>VLOOKUP(LARGE('[1]Top25BAYH'!$A$5:$A$277,25),'[1]Top25BAYH'!$A$5:$P$277,10,FALSE)/VLOOKUP(LARGE('[1]Top25BAYH'!$A$5:$A$277,25),'[1]Top25BAYH'!$A$5:$P$277,13,FALSE)*100</f>
        <v>45.83333333333333</v>
      </c>
      <c r="H27" s="20">
        <f>VLOOKUP(LARGE('[1]Top25BAYH'!$A$5:$A$277,25),'[1]Top25BAYH'!$A$5:$P$277,11,FALSE)/VLOOKUP(LARGE('[1]Top25BAYH'!$A$5:$A$277,25),'[1]Top25BAYH'!$A$5:$P$277,13,FALSE)*100</f>
        <v>54.166666666666664</v>
      </c>
      <c r="I27" s="19">
        <f>VLOOKUP(LARGE('[1]Top25BAYH'!$A$5:$A$277,25),'[1]Top25BAYH'!$A$5:$P$277,4,FALSE)/VLOOKUP(LARGE('[1]Top25BAYH'!$A$5:$A$277,25),'[1]Top25BAYH'!$A$5:$P$277,9,FALSE)*100</f>
        <v>0</v>
      </c>
      <c r="J27" s="21">
        <f>VLOOKUP(LARGE('[1]Top25BAYH'!$A$5:$A$277,25),'[1]Top25BAYH'!$A$5:$P$277,5,FALSE)/VLOOKUP(LARGE('[1]Top25BAYH'!$A$5:$A$277,25),'[1]Top25BAYH'!$A$5:$P$277,9,FALSE)*100</f>
        <v>11.904761904761903</v>
      </c>
      <c r="K27" s="21">
        <f>VLOOKUP(LARGE('[1]Top25BAYH'!$A$5:$A$277,25),'[1]Top25BAYH'!$A$5:$P$277,6,FALSE)/VLOOKUP(LARGE('[1]Top25BAYH'!$A$5:$A$277,25),'[1]Top25BAYH'!$A$5:$P$277,9,FALSE)*100</f>
        <v>36.30952380952381</v>
      </c>
      <c r="L27" s="21">
        <f>VLOOKUP(LARGE('[1]Top25BAYH'!$A$5:$A$277,25),'[1]Top25BAYH'!$A$5:$P$277,7,FALSE)/VLOOKUP(LARGE('[1]Top25BAYH'!$A$5:$A$277,25),'[1]Top25BAYH'!$A$5:$P$277,9,FALSE)*100</f>
        <v>51.78571428571429</v>
      </c>
    </row>
    <row r="28" spans="3:10" ht="11.25">
      <c r="C28" s="22"/>
      <c r="D28" s="22"/>
      <c r="E28" s="22"/>
      <c r="F28" s="23"/>
      <c r="G28" s="22"/>
      <c r="H28" s="22"/>
      <c r="I28" s="22"/>
      <c r="J28" s="22"/>
    </row>
    <row r="32" spans="1:12" ht="11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1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1.25">
      <c r="A35" s="8"/>
      <c r="B35" s="8"/>
      <c r="C35" s="14"/>
      <c r="D35" s="14"/>
      <c r="E35" s="14"/>
      <c r="F35" s="27"/>
      <c r="G35" s="14"/>
      <c r="H35" s="14"/>
      <c r="I35" s="14"/>
      <c r="J35" s="14"/>
      <c r="K35" s="14"/>
      <c r="L35" s="14"/>
    </row>
    <row r="36" spans="1:12" ht="11.25">
      <c r="A36" s="8"/>
      <c r="B36" s="8"/>
      <c r="C36" s="14"/>
      <c r="D36" s="14"/>
      <c r="E36" s="14"/>
      <c r="F36" s="27"/>
      <c r="G36" s="14"/>
      <c r="H36" s="14"/>
      <c r="I36" s="14"/>
      <c r="J36" s="14"/>
      <c r="K36" s="14"/>
      <c r="L36" s="14"/>
    </row>
    <row r="37" spans="1:12" ht="11.25">
      <c r="A37" s="8"/>
      <c r="B37" s="8"/>
      <c r="C37" s="14"/>
      <c r="D37" s="14"/>
      <c r="E37" s="14"/>
      <c r="F37" s="27"/>
      <c r="G37" s="14"/>
      <c r="H37" s="14"/>
      <c r="I37" s="14"/>
      <c r="J37" s="14"/>
      <c r="K37" s="14"/>
      <c r="L37" s="14"/>
    </row>
    <row r="38" spans="1:12" ht="11.25">
      <c r="A38" s="8"/>
      <c r="B38" s="8"/>
      <c r="C38" s="14"/>
      <c r="D38" s="14"/>
      <c r="E38" s="14"/>
      <c r="F38" s="27"/>
      <c r="G38" s="14"/>
      <c r="H38" s="14"/>
      <c r="I38" s="14"/>
      <c r="J38" s="14"/>
      <c r="K38" s="14"/>
      <c r="L38" s="14"/>
    </row>
    <row r="39" spans="1:12" ht="11.25">
      <c r="A39" s="8"/>
      <c r="B39" s="8"/>
      <c r="C39" s="14"/>
      <c r="D39" s="14"/>
      <c r="E39" s="14"/>
      <c r="F39" s="27"/>
      <c r="G39" s="14"/>
      <c r="H39" s="14"/>
      <c r="I39" s="14"/>
      <c r="J39" s="14"/>
      <c r="K39" s="14"/>
      <c r="L39" s="14"/>
    </row>
    <row r="40" spans="1:12" ht="11.25">
      <c r="A40" s="8"/>
      <c r="B40" s="8"/>
      <c r="C40" s="14"/>
      <c r="D40" s="14"/>
      <c r="E40" s="14"/>
      <c r="F40" s="27"/>
      <c r="G40" s="14"/>
      <c r="H40" s="14"/>
      <c r="I40" s="14"/>
      <c r="J40" s="14"/>
      <c r="K40" s="14"/>
      <c r="L40" s="14"/>
    </row>
    <row r="41" spans="1:12" ht="11.25">
      <c r="A41" s="8"/>
      <c r="B41" s="8"/>
      <c r="C41" s="14"/>
      <c r="D41" s="14"/>
      <c r="E41" s="14"/>
      <c r="F41" s="27"/>
      <c r="G41" s="14"/>
      <c r="H41" s="14"/>
      <c r="I41" s="14"/>
      <c r="J41" s="14"/>
      <c r="K41" s="14"/>
      <c r="L41" s="14"/>
    </row>
    <row r="42" spans="1:12" ht="11.25">
      <c r="A42" s="8"/>
      <c r="B42" s="8"/>
      <c r="C42" s="14"/>
      <c r="D42" s="14"/>
      <c r="E42" s="14"/>
      <c r="F42" s="27"/>
      <c r="G42" s="14"/>
      <c r="H42" s="14"/>
      <c r="I42" s="14"/>
      <c r="J42" s="14"/>
      <c r="K42" s="14"/>
      <c r="L42" s="14"/>
    </row>
    <row r="43" spans="1:12" ht="11.25">
      <c r="A43" s="8"/>
      <c r="B43" s="8"/>
      <c r="C43" s="14"/>
      <c r="D43" s="14"/>
      <c r="E43" s="14"/>
      <c r="F43" s="27"/>
      <c r="G43" s="14"/>
      <c r="H43" s="14"/>
      <c r="I43" s="14"/>
      <c r="J43" s="14"/>
      <c r="K43" s="14"/>
      <c r="L43" s="14"/>
    </row>
    <row r="44" spans="1:12" ht="11.25">
      <c r="A44" s="8"/>
      <c r="B44" s="8"/>
      <c r="C44" s="14"/>
      <c r="D44" s="14"/>
      <c r="E44" s="14"/>
      <c r="F44" s="27"/>
      <c r="G44" s="14"/>
      <c r="H44" s="14"/>
      <c r="I44" s="14"/>
      <c r="J44" s="14"/>
      <c r="K44" s="14"/>
      <c r="L44" s="14"/>
    </row>
    <row r="45" spans="1:12" ht="11.25">
      <c r="A45" s="8"/>
      <c r="B45" s="8"/>
      <c r="C45" s="14"/>
      <c r="D45" s="14"/>
      <c r="E45" s="14"/>
      <c r="F45" s="27"/>
      <c r="G45" s="14"/>
      <c r="H45" s="14"/>
      <c r="I45" s="14"/>
      <c r="J45" s="14"/>
      <c r="K45" s="14"/>
      <c r="L45" s="14"/>
    </row>
    <row r="46" spans="1:12" ht="11.25">
      <c r="A46" s="8"/>
      <c r="B46" s="8"/>
      <c r="C46" s="14"/>
      <c r="D46" s="14"/>
      <c r="E46" s="14"/>
      <c r="F46" s="27"/>
      <c r="G46" s="14"/>
      <c r="H46" s="14"/>
      <c r="I46" s="14"/>
      <c r="J46" s="14"/>
      <c r="K46" s="14"/>
      <c r="L46" s="14"/>
    </row>
    <row r="47" spans="1:12" ht="11.25">
      <c r="A47" s="8"/>
      <c r="B47" s="8"/>
      <c r="C47" s="14"/>
      <c r="D47" s="14"/>
      <c r="E47" s="14"/>
      <c r="F47" s="27"/>
      <c r="G47" s="14"/>
      <c r="H47" s="14"/>
      <c r="I47" s="14"/>
      <c r="J47" s="14"/>
      <c r="K47" s="14"/>
      <c r="L47" s="14"/>
    </row>
    <row r="48" spans="1:12" ht="11.25">
      <c r="A48" s="8"/>
      <c r="B48" s="8"/>
      <c r="C48" s="14"/>
      <c r="D48" s="14"/>
      <c r="E48" s="14"/>
      <c r="F48" s="27"/>
      <c r="G48" s="14"/>
      <c r="H48" s="14"/>
      <c r="I48" s="14"/>
      <c r="J48" s="14"/>
      <c r="K48" s="14"/>
      <c r="L48" s="14"/>
    </row>
    <row r="49" spans="1:12" ht="11.25">
      <c r="A49" s="8"/>
      <c r="B49" s="8"/>
      <c r="C49" s="14"/>
      <c r="D49" s="14"/>
      <c r="E49" s="14"/>
      <c r="F49" s="27"/>
      <c r="G49" s="14"/>
      <c r="H49" s="14"/>
      <c r="I49" s="14"/>
      <c r="J49" s="14"/>
      <c r="K49" s="14"/>
      <c r="L49" s="14"/>
    </row>
    <row r="50" spans="1:12" ht="11.25">
      <c r="A50" s="8"/>
      <c r="B50" s="8"/>
      <c r="C50" s="14"/>
      <c r="D50" s="14"/>
      <c r="E50" s="14"/>
      <c r="F50" s="27"/>
      <c r="G50" s="14"/>
      <c r="H50" s="14"/>
      <c r="I50" s="14"/>
      <c r="J50" s="14"/>
      <c r="K50" s="14"/>
      <c r="L50" s="14"/>
    </row>
    <row r="51" spans="1:12" ht="11.25">
      <c r="A51" s="8"/>
      <c r="B51" s="8"/>
      <c r="C51" s="14"/>
      <c r="D51" s="14"/>
      <c r="E51" s="14"/>
      <c r="F51" s="27"/>
      <c r="G51" s="14"/>
      <c r="H51" s="14"/>
      <c r="I51" s="14"/>
      <c r="J51" s="14"/>
      <c r="K51" s="14"/>
      <c r="L51" s="14"/>
    </row>
    <row r="52" spans="1:12" ht="11.25">
      <c r="A52" s="8"/>
      <c r="B52" s="8"/>
      <c r="C52" s="14"/>
      <c r="D52" s="14"/>
      <c r="E52" s="14"/>
      <c r="F52" s="27"/>
      <c r="G52" s="14"/>
      <c r="H52" s="14"/>
      <c r="I52" s="14"/>
      <c r="J52" s="14"/>
      <c r="K52" s="14"/>
      <c r="L52" s="14"/>
    </row>
    <row r="53" spans="1:12" ht="11.25">
      <c r="A53" s="8"/>
      <c r="B53" s="8"/>
      <c r="C53" s="14"/>
      <c r="D53" s="14"/>
      <c r="E53" s="14"/>
      <c r="F53" s="27"/>
      <c r="G53" s="14"/>
      <c r="H53" s="14"/>
      <c r="I53" s="14"/>
      <c r="J53" s="14"/>
      <c r="K53" s="14"/>
      <c r="L53" s="14"/>
    </row>
    <row r="54" spans="1:12" ht="11.25">
      <c r="A54" s="8"/>
      <c r="B54" s="8"/>
      <c r="C54" s="14"/>
      <c r="D54" s="14"/>
      <c r="E54" s="14"/>
      <c r="F54" s="27"/>
      <c r="G54" s="14"/>
      <c r="H54" s="14"/>
      <c r="I54" s="14"/>
      <c r="J54" s="14"/>
      <c r="K54" s="14"/>
      <c r="L54" s="14"/>
    </row>
    <row r="55" spans="1:12" ht="11.25">
      <c r="A55" s="8"/>
      <c r="B55" s="8"/>
      <c r="C55" s="14"/>
      <c r="D55" s="14"/>
      <c r="E55" s="14"/>
      <c r="F55" s="27"/>
      <c r="G55" s="14"/>
      <c r="H55" s="14"/>
      <c r="I55" s="14"/>
      <c r="J55" s="14"/>
      <c r="K55" s="14"/>
      <c r="L55" s="14"/>
    </row>
    <row r="56" spans="1:12" ht="11.25">
      <c r="A56" s="8"/>
      <c r="B56" s="8"/>
      <c r="C56" s="14"/>
      <c r="D56" s="14"/>
      <c r="E56" s="14"/>
      <c r="F56" s="27"/>
      <c r="G56" s="14"/>
      <c r="H56" s="14"/>
      <c r="I56" s="14"/>
      <c r="J56" s="14"/>
      <c r="K56" s="14"/>
      <c r="L56" s="14"/>
    </row>
    <row r="57" spans="1:12" ht="11.25">
      <c r="A57" s="8"/>
      <c r="B57" s="8"/>
      <c r="C57" s="14"/>
      <c r="D57" s="14"/>
      <c r="E57" s="14"/>
      <c r="F57" s="27"/>
      <c r="G57" s="14"/>
      <c r="H57" s="14"/>
      <c r="I57" s="14"/>
      <c r="J57" s="14"/>
      <c r="K57" s="14"/>
      <c r="L57" s="14"/>
    </row>
    <row r="58" spans="1:12" ht="11.25">
      <c r="A58" s="8"/>
      <c r="B58" s="8"/>
      <c r="C58" s="14"/>
      <c r="D58" s="14"/>
      <c r="E58" s="14"/>
      <c r="F58" s="27"/>
      <c r="G58" s="14"/>
      <c r="H58" s="14"/>
      <c r="I58" s="14"/>
      <c r="J58" s="14"/>
      <c r="K58" s="14"/>
      <c r="L58" s="14"/>
    </row>
    <row r="59" spans="1:12" ht="11.25">
      <c r="A59" s="8"/>
      <c r="B59" s="8"/>
      <c r="C59" s="14"/>
      <c r="D59" s="14"/>
      <c r="E59" s="14"/>
      <c r="F59" s="27"/>
      <c r="G59" s="14"/>
      <c r="H59" s="14"/>
      <c r="I59" s="14"/>
      <c r="J59" s="14"/>
      <c r="K59" s="14"/>
      <c r="L59" s="1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77.5" style="0" customWidth="1"/>
    <col min="2" max="2" width="6.16015625" style="0" customWidth="1"/>
    <col min="3" max="3" width="11" style="0" bestFit="1" customWidth="1"/>
    <col min="4" max="4" width="7.5" style="0" bestFit="1" customWidth="1"/>
    <col min="5" max="5" width="6" style="0" bestFit="1" customWidth="1"/>
    <col min="6" max="6" width="11.83203125" style="0" bestFit="1" customWidth="1"/>
    <col min="7" max="8" width="9" style="0" customWidth="1"/>
    <col min="9" max="12" width="6.33203125" style="0" customWidth="1"/>
  </cols>
  <sheetData>
    <row r="1" ht="13.5" thickBot="1">
      <c r="A1" s="1" t="s">
        <v>15</v>
      </c>
    </row>
    <row r="2" spans="1:13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4" t="s">
        <v>8</v>
      </c>
      <c r="J2" s="6" t="s">
        <v>9</v>
      </c>
      <c r="K2" s="6" t="s">
        <v>10</v>
      </c>
      <c r="L2" s="6" t="s">
        <v>11</v>
      </c>
      <c r="M2" s="7"/>
    </row>
    <row r="3" spans="1:12" ht="11.25">
      <c r="A3" s="8" t="str">
        <f>VLOOKUP(LARGE('[1]Top25SFRA'!$A$5:$C$259,1),'[1]Top25SFRA'!$A$5:$C$259,3,FALSE)</f>
        <v>NEONATE BIRTHWT &gt;2499G, NORMAL NEWBORN OR NEONATE W OTHER PROBLEM                 </v>
      </c>
      <c r="B3" s="9">
        <f>VLOOKUP(LARGE('[1]Top25SFRA'!$A$5:$C$259,1),'[1]Top25SFRA'!$A$5:$C$259,1,FALSE)</f>
        <v>769</v>
      </c>
      <c r="C3" s="10">
        <f>VLOOKUP(LARGE('[1]Top25SFRA'!$A$5:$C$259,1),'[1]Top25SFRA'!$A$5:$C$259,1,FALSE)/'[1]Top25SFRA'!$I$260*100</f>
        <v>17.942137190853945</v>
      </c>
      <c r="D3" s="10">
        <f>(VLOOKUP(LARGE('[1]Top25SFRA'!$A$5:$C$259,1),'[1]Top25SFRA'!$A$5:$C$259,1,FALSE)/'[1]Top25SFRA'!$I$261*100)</f>
        <v>10.110439127004996</v>
      </c>
      <c r="E3" s="10">
        <f>VLOOKUP(LARGE('[1]Top25SFRA'!$A$5:$A$259,1),'[1]Top25SFRA'!$A$5:$P$259,14,FALSE)</f>
        <v>2.3</v>
      </c>
      <c r="F3" s="11">
        <f>VLOOKUP(LARGE('[1]Top25SFRA'!$A$5:$A$259,1),'[1]Top25SFRA'!$A$5:$P$259,15,FALSE)</f>
        <v>3438.03</v>
      </c>
      <c r="G3" s="12">
        <f>VLOOKUP(LARGE('[1]Top25SFRA'!$A$5:$A$259,1),'[1]Top25SFRA'!$A$5:$P$259,10,FALSE)/VLOOKUP(LARGE('[1]Top25SFRA'!$A$5:$A$259,1),'[1]Top25SFRA'!$A$5:$P$259,13,FALSE)*100</f>
        <v>50.455136540962286</v>
      </c>
      <c r="H3" s="13">
        <f>VLOOKUP(LARGE('[1]Top25SFRA'!$A$5:$A$259,1),'[1]Top25SFRA'!$A$5:$P$259,11,FALSE)/VLOOKUP(LARGE('[1]Top25SFRA'!$A$5:$A$259,1),'[1]Top25SFRA'!$A$5:$P$259,13,FALSE)*100</f>
        <v>49.544863459037714</v>
      </c>
      <c r="I3" s="12">
        <f>VLOOKUP(LARGE('[1]Top25SFRA'!$A$5:$A$259,1),'[1]Top25SFRA'!$A$5:$P$259,4,FALSE)/VLOOKUP(LARGE('[1]Top25SFRA'!$A$5:$A$259,1),'[1]Top25SFRA'!$A$5:$P$259,9,FALSE)*100</f>
        <v>100</v>
      </c>
      <c r="J3" s="14">
        <f>VLOOKUP(LARGE('[1]Top25SFRA'!$A$5:$A$259,1),'[1]Top25SFRA'!$A$5:$P$259,5,FALSE)/VLOOKUP(LARGE('[1]Top25SFRA'!$A$5:$A$259,1),'[1]Top25SFRA'!$A$5:$P$259,9,FALSE)*100</f>
        <v>0</v>
      </c>
      <c r="K3" s="14">
        <f>VLOOKUP(LARGE('[1]Top25SFRA'!$A$5:$A$259,1),'[1]Top25SFRA'!$A$5:$P$259,6,FALSE)/VLOOKUP(LARGE('[1]Top25SFRA'!$A$5:$A$259,1),'[1]Top25SFRA'!$A$5:$P$259,9,FALSE)*100</f>
        <v>0</v>
      </c>
      <c r="L3" s="14">
        <f>VLOOKUP(LARGE('[1]Top25SFRA'!$A$5:$A$259,1),'[1]Top25SFRA'!$A$5:$P$259,7,FALSE)/VLOOKUP(LARGE('[1]Top25SFRA'!$A$5:$A$259,1),'[1]Top25SFRA'!$A$5:$P$259,9,FALSE)*100</f>
        <v>0</v>
      </c>
    </row>
    <row r="4" spans="1:12" ht="11.25">
      <c r="A4" s="8" t="str">
        <f>VLOOKUP(LARGE('[1]Top25SFRA'!$A$5:$C$259,2),'[1]Top25SFRA'!$A$5:$C$259,3,FALSE)</f>
        <v>VAGINAL DELIVERY                                                                  </v>
      </c>
      <c r="B4" s="9">
        <f>VLOOKUP(LARGE('[1]Top25SFRA'!$A$5:$C$259,2),'[1]Top25SFRA'!$A$5:$C$259,1,FALSE)</f>
        <v>563</v>
      </c>
      <c r="C4" s="10">
        <f>VLOOKUP(LARGE('[1]Top25SFRA'!$A$5:$C$259,2),'[1]Top25SFRA'!$A$5:$C$259,1,FALSE)/'[1]Top25SFRA'!$I$260*100</f>
        <v>13.135790947270182</v>
      </c>
      <c r="D4" s="10">
        <f>(VLOOKUP(LARGE('[1]Top25SFRA'!$A$5:$C$259,2),'[1]Top25SFRA'!$A$5:$C$259,1,FALSE)/'[1]Top25SFRA'!$I$261*100)</f>
        <v>7.402051012358664</v>
      </c>
      <c r="E4" s="10">
        <f>VLOOKUP(LARGE('[1]Top25SFRA'!$A$5:$A$259,2),'[1]Top25SFRA'!$A$5:$P$259,14,FALSE)</f>
        <v>2.2</v>
      </c>
      <c r="F4" s="11">
        <f>VLOOKUP(LARGE('[1]Top25SFRA'!$A$5:$A$259,2),'[1]Top25SFRA'!$A$5:$P$259,15,FALSE)</f>
        <v>8434.6</v>
      </c>
      <c r="G4" s="12">
        <f>VLOOKUP(LARGE('[1]Top25SFRA'!$A$5:$A$259,2),'[1]Top25SFRA'!$A$5:$P$259,10,FALSE)/VLOOKUP(LARGE('[1]Top25SFRA'!$A$5:$A$259,2),'[1]Top25SFRA'!$A$5:$P$259,13,FALSE)*100</f>
        <v>0</v>
      </c>
      <c r="H4" s="13">
        <f>VLOOKUP(LARGE('[1]Top25SFRA'!$A$5:$A$259,2),'[1]Top25SFRA'!$A$5:$P$259,11,FALSE)/VLOOKUP(LARGE('[1]Top25SFRA'!$A$5:$A$259,2),'[1]Top25SFRA'!$A$5:$P$259,13,FALSE)*100</f>
        <v>100</v>
      </c>
      <c r="I4" s="12">
        <f>VLOOKUP(LARGE('[1]Top25SFRA'!$A$5:$A$259,2),'[1]Top25SFRA'!$A$5:$P$259,4,FALSE)/VLOOKUP(LARGE('[1]Top25SFRA'!$A$5:$A$259,2),'[1]Top25SFRA'!$A$5:$P$259,9,FALSE)*100</f>
        <v>3.374777975133215</v>
      </c>
      <c r="J4" s="14">
        <f>VLOOKUP(LARGE('[1]Top25SFRA'!$A$5:$A$259,2),'[1]Top25SFRA'!$A$5:$P$259,5,FALSE)/VLOOKUP(LARGE('[1]Top25SFRA'!$A$5:$A$259,2),'[1]Top25SFRA'!$A$5:$P$259,9,FALSE)*100</f>
        <v>96.26998223801066</v>
      </c>
      <c r="K4" s="14">
        <f>VLOOKUP(LARGE('[1]Top25SFRA'!$A$5:$A$259,2),'[1]Top25SFRA'!$A$5:$P$259,6,FALSE)/VLOOKUP(LARGE('[1]Top25SFRA'!$A$5:$A$259,2),'[1]Top25SFRA'!$A$5:$P$259,9,FALSE)*100</f>
        <v>0.3552397868561279</v>
      </c>
      <c r="L4" s="14">
        <f>VLOOKUP(LARGE('[1]Top25SFRA'!$A$5:$A$259,2),'[1]Top25SFRA'!$A$5:$P$259,7,FALSE)/VLOOKUP(LARGE('[1]Top25SFRA'!$A$5:$A$259,2),'[1]Top25SFRA'!$A$5:$P$259,9,FALSE)*100</f>
        <v>0</v>
      </c>
    </row>
    <row r="5" spans="1:12" ht="11.25">
      <c r="A5" s="8" t="str">
        <f>VLOOKUP(LARGE('[1]Top25SFRA'!$A$5:$C$259,3),'[1]Top25SFRA'!$A$5:$C$259,3,FALSE)</f>
        <v>OTHER AFTERCARE &amp; CONVALESCENCE                                                   </v>
      </c>
      <c r="B5" s="9">
        <f>VLOOKUP(LARGE('[1]Top25SFRA'!$A$5:$C$259,3),'[1]Top25SFRA'!$A$5:$C$259,1,FALSE)</f>
        <v>295</v>
      </c>
      <c r="C5" s="10">
        <f>VLOOKUP(LARGE('[1]Top25SFRA'!$A$5:$C$259,3),'[1]Top25SFRA'!$A$5:$C$259,1,FALSE)/'[1]Top25SFRA'!$I$260*100</f>
        <v>6.882874475034997</v>
      </c>
      <c r="D5" s="10">
        <f>(VLOOKUP(LARGE('[1]Top25SFRA'!$A$5:$C$259,3),'[1]Top25SFRA'!$A$5:$C$259,1,FALSE)/'[1]Top25SFRA'!$I$261*100)</f>
        <v>3.878516960294504</v>
      </c>
      <c r="E5" s="10">
        <f>VLOOKUP(LARGE('[1]Top25SFRA'!$A$5:$A$259,3),'[1]Top25SFRA'!$A$5:$P$259,14,FALSE)</f>
        <v>6.7</v>
      </c>
      <c r="F5" s="11">
        <f>VLOOKUP(LARGE('[1]Top25SFRA'!$A$5:$A$259,3),'[1]Top25SFRA'!$A$5:$P$259,15,FALSE)</f>
        <v>1643.19</v>
      </c>
      <c r="G5" s="12">
        <f>VLOOKUP(LARGE('[1]Top25SFRA'!$A$5:$A$259,3),'[1]Top25SFRA'!$A$5:$P$259,10,FALSE)/VLOOKUP(LARGE('[1]Top25SFRA'!$A$5:$A$259,3),'[1]Top25SFRA'!$A$5:$P$259,13,FALSE)*100</f>
        <v>39.32203389830509</v>
      </c>
      <c r="H5" s="13">
        <f>VLOOKUP(LARGE('[1]Top25SFRA'!$A$5:$A$259,3),'[1]Top25SFRA'!$A$5:$P$259,11,FALSE)/VLOOKUP(LARGE('[1]Top25SFRA'!$A$5:$A$259,3),'[1]Top25SFRA'!$A$5:$P$259,13,FALSE)*100</f>
        <v>60.67796610169491</v>
      </c>
      <c r="I5" s="12">
        <f>VLOOKUP(LARGE('[1]Top25SFRA'!$A$5:$A$259,3),'[1]Top25SFRA'!$A$5:$P$259,4,FALSE)/VLOOKUP(LARGE('[1]Top25SFRA'!$A$5:$A$259,3),'[1]Top25SFRA'!$A$5:$P$259,9,FALSE)*100</f>
        <v>0</v>
      </c>
      <c r="J5" s="14">
        <f>VLOOKUP(LARGE('[1]Top25SFRA'!$A$5:$A$259,3),'[1]Top25SFRA'!$A$5:$P$259,5,FALSE)/VLOOKUP(LARGE('[1]Top25SFRA'!$A$5:$A$259,3),'[1]Top25SFRA'!$A$5:$P$259,9,FALSE)*100</f>
        <v>3.389830508474576</v>
      </c>
      <c r="K5" s="14">
        <f>VLOOKUP(LARGE('[1]Top25SFRA'!$A$5:$A$259,3),'[1]Top25SFRA'!$A$5:$P$259,6,FALSE)/VLOOKUP(LARGE('[1]Top25SFRA'!$A$5:$A$259,3),'[1]Top25SFRA'!$A$5:$P$259,9,FALSE)*100</f>
        <v>21.01694915254237</v>
      </c>
      <c r="L5" s="14">
        <f>VLOOKUP(LARGE('[1]Top25SFRA'!$A$5:$A$259,3),'[1]Top25SFRA'!$A$5:$P$259,7,FALSE)/VLOOKUP(LARGE('[1]Top25SFRA'!$A$5:$A$259,3),'[1]Top25SFRA'!$A$5:$P$259,9,FALSE)*100</f>
        <v>75.59322033898304</v>
      </c>
    </row>
    <row r="6" spans="1:12" ht="11.25">
      <c r="A6" s="8" t="str">
        <f>VLOOKUP(LARGE('[1]Top25SFRA'!$A$5:$C$259,4),'[1]Top25SFRA'!$A$5:$C$259,3,FALSE)</f>
        <v>CESAREAN DELIVERY                                                                 </v>
      </c>
      <c r="B6" s="9">
        <f>VLOOKUP(LARGE('[1]Top25SFRA'!$A$5:$C$259,4),'[1]Top25SFRA'!$A$5:$C$259,1,FALSE)</f>
        <v>267</v>
      </c>
      <c r="C6" s="10">
        <f>VLOOKUP(LARGE('[1]Top25SFRA'!$A$5:$C$259,4),'[1]Top25SFRA'!$A$5:$C$259,1,FALSE)/'[1]Top25SFRA'!$I$260*100</f>
        <v>6.22958469435371</v>
      </c>
      <c r="D6" s="10">
        <f>(VLOOKUP(LARGE('[1]Top25SFRA'!$A$5:$C$259,4),'[1]Top25SFRA'!$A$5:$C$259,1,FALSE)/'[1]Top25SFRA'!$I$261*100)</f>
        <v>3.5103865369445173</v>
      </c>
      <c r="E6" s="10">
        <f>VLOOKUP(LARGE('[1]Top25SFRA'!$A$5:$A$259,4),'[1]Top25SFRA'!$A$5:$P$259,14,FALSE)</f>
        <v>3.2</v>
      </c>
      <c r="F6" s="11">
        <f>VLOOKUP(LARGE('[1]Top25SFRA'!$A$5:$A$259,4),'[1]Top25SFRA'!$A$5:$P$259,15,FALSE)</f>
        <v>12318.09</v>
      </c>
      <c r="G6" s="12">
        <f>VLOOKUP(LARGE('[1]Top25SFRA'!$A$5:$A$259,4),'[1]Top25SFRA'!$A$5:$P$259,10,FALSE)/VLOOKUP(LARGE('[1]Top25SFRA'!$A$5:$A$259,4),'[1]Top25SFRA'!$A$5:$P$259,13,FALSE)*100</f>
        <v>0</v>
      </c>
      <c r="H6" s="13">
        <f>VLOOKUP(LARGE('[1]Top25SFRA'!$A$5:$A$259,4),'[1]Top25SFRA'!$A$5:$P$259,11,FALSE)/VLOOKUP(LARGE('[1]Top25SFRA'!$A$5:$A$259,4),'[1]Top25SFRA'!$A$5:$P$259,13,FALSE)*100</f>
        <v>100</v>
      </c>
      <c r="I6" s="12">
        <f>VLOOKUP(LARGE('[1]Top25SFRA'!$A$5:$A$259,4),'[1]Top25SFRA'!$A$5:$P$259,4,FALSE)/VLOOKUP(LARGE('[1]Top25SFRA'!$A$5:$A$259,4),'[1]Top25SFRA'!$A$5:$P$259,9,FALSE)*100</f>
        <v>3.7453183520599254</v>
      </c>
      <c r="J6" s="14">
        <f>VLOOKUP(LARGE('[1]Top25SFRA'!$A$5:$A$259,4),'[1]Top25SFRA'!$A$5:$P$259,5,FALSE)/VLOOKUP(LARGE('[1]Top25SFRA'!$A$5:$A$259,4),'[1]Top25SFRA'!$A$5:$P$259,9,FALSE)*100</f>
        <v>95.88014981273409</v>
      </c>
      <c r="K6" s="14">
        <f>VLOOKUP(LARGE('[1]Top25SFRA'!$A$5:$A$259,4),'[1]Top25SFRA'!$A$5:$P$259,6,FALSE)/VLOOKUP(LARGE('[1]Top25SFRA'!$A$5:$A$259,4),'[1]Top25SFRA'!$A$5:$P$259,9,FALSE)*100</f>
        <v>0.37453183520599254</v>
      </c>
      <c r="L6" s="14">
        <f>VLOOKUP(LARGE('[1]Top25SFRA'!$A$5:$A$259,4),'[1]Top25SFRA'!$A$5:$P$259,7,FALSE)/VLOOKUP(LARGE('[1]Top25SFRA'!$A$5:$A$259,4),'[1]Top25SFRA'!$A$5:$P$259,9,FALSE)*100</f>
        <v>0</v>
      </c>
    </row>
    <row r="7" spans="1:12" ht="11.25">
      <c r="A7" s="8" t="str">
        <f>VLOOKUP(LARGE('[1]Top25SFRA'!$A$5:$C$259,5),'[1]Top25SFRA'!$A$5:$C$259,3,FALSE)</f>
        <v>HEART FAILURE                                                                     </v>
      </c>
      <c r="B7" s="9">
        <f>VLOOKUP(LARGE('[1]Top25SFRA'!$A$5:$C$259,5),'[1]Top25SFRA'!$A$5:$C$259,1,FALSE)</f>
        <v>202</v>
      </c>
      <c r="C7" s="10">
        <f>VLOOKUP(LARGE('[1]Top25SFRA'!$A$5:$C$259,5),'[1]Top25SFRA'!$A$5:$C$259,1,FALSE)/'[1]Top25SFRA'!$I$260*100</f>
        <v>4.7130191320578625</v>
      </c>
      <c r="D7" s="10">
        <f>(VLOOKUP(LARGE('[1]Top25SFRA'!$A$5:$C$259,5),'[1]Top25SFRA'!$A$5:$C$259,1,FALSE)/'[1]Top25SFRA'!$I$261*100)</f>
        <v>2.655798054167762</v>
      </c>
      <c r="E7" s="10">
        <f>VLOOKUP(LARGE('[1]Top25SFRA'!$A$5:$A$259,5),'[1]Top25SFRA'!$A$5:$P$259,14,FALSE)</f>
        <v>4.3</v>
      </c>
      <c r="F7" s="11">
        <f>VLOOKUP(LARGE('[1]Top25SFRA'!$A$5:$A$259,5),'[1]Top25SFRA'!$A$5:$P$259,15,FALSE)</f>
        <v>19978.74</v>
      </c>
      <c r="G7" s="12">
        <f>VLOOKUP(LARGE('[1]Top25SFRA'!$A$5:$A$259,5),'[1]Top25SFRA'!$A$5:$P$259,10,FALSE)/VLOOKUP(LARGE('[1]Top25SFRA'!$A$5:$A$259,5),'[1]Top25SFRA'!$A$5:$P$259,13,FALSE)*100</f>
        <v>41.089108910891085</v>
      </c>
      <c r="H7" s="13">
        <f>VLOOKUP(LARGE('[1]Top25SFRA'!$A$5:$A$259,5),'[1]Top25SFRA'!$A$5:$P$259,11,FALSE)/VLOOKUP(LARGE('[1]Top25SFRA'!$A$5:$A$259,5),'[1]Top25SFRA'!$A$5:$P$259,13,FALSE)*100</f>
        <v>58.91089108910891</v>
      </c>
      <c r="I7" s="12">
        <f>VLOOKUP(LARGE('[1]Top25SFRA'!$A$5:$A$259,5),'[1]Top25SFRA'!$A$5:$P$259,4,FALSE)/VLOOKUP(LARGE('[1]Top25SFRA'!$A$5:$A$259,5),'[1]Top25SFRA'!$A$5:$P$259,9,FALSE)*100</f>
        <v>0</v>
      </c>
      <c r="J7" s="14">
        <f>VLOOKUP(LARGE('[1]Top25SFRA'!$A$5:$A$259,5),'[1]Top25SFRA'!$A$5:$P$259,5,FALSE)/VLOOKUP(LARGE('[1]Top25SFRA'!$A$5:$A$259,5),'[1]Top25SFRA'!$A$5:$P$259,9,FALSE)*100</f>
        <v>5.445544554455446</v>
      </c>
      <c r="K7" s="14">
        <f>VLOOKUP(LARGE('[1]Top25SFRA'!$A$5:$A$259,5),'[1]Top25SFRA'!$A$5:$P$259,6,FALSE)/VLOOKUP(LARGE('[1]Top25SFRA'!$A$5:$A$259,5),'[1]Top25SFRA'!$A$5:$P$259,9,FALSE)*100</f>
        <v>29.7029702970297</v>
      </c>
      <c r="L7" s="14">
        <f>VLOOKUP(LARGE('[1]Top25SFRA'!$A$5:$A$259,5),'[1]Top25SFRA'!$A$5:$P$259,7,FALSE)/VLOOKUP(LARGE('[1]Top25SFRA'!$A$5:$A$259,5),'[1]Top25SFRA'!$A$5:$P$259,9,FALSE)*100</f>
        <v>64.85148514851485</v>
      </c>
    </row>
    <row r="8" spans="1:12" ht="11.25">
      <c r="A8" s="8" t="str">
        <f>VLOOKUP(LARGE('[1]Top25SFRA'!$A$5:$C$259,6),'[1]Top25SFRA'!$A$5:$C$259,3,FALSE)</f>
        <v>CHEST PAIN                                                                        </v>
      </c>
      <c r="B8" s="9">
        <f>VLOOKUP(LARGE('[1]Top25SFRA'!$A$5:$C$259,6),'[1]Top25SFRA'!$A$5:$C$259,1,FALSE)</f>
        <v>191</v>
      </c>
      <c r="C8" s="10">
        <f>VLOOKUP(LARGE('[1]Top25SFRA'!$A$5:$C$259,6),'[1]Top25SFRA'!$A$5:$C$259,1,FALSE)/'[1]Top25SFRA'!$I$260*100</f>
        <v>4.456369575361642</v>
      </c>
      <c r="D8" s="10">
        <f>(VLOOKUP(LARGE('[1]Top25SFRA'!$A$5:$C$259,6),'[1]Top25SFRA'!$A$5:$C$259,1,FALSE)/'[1]Top25SFRA'!$I$261*100)</f>
        <v>2.5111753878516963</v>
      </c>
      <c r="E8" s="10">
        <f>VLOOKUP(LARGE('[1]Top25SFRA'!$A$5:$A$259,6),'[1]Top25SFRA'!$A$5:$P$259,14,FALSE)</f>
        <v>1.8</v>
      </c>
      <c r="F8" s="11">
        <f>VLOOKUP(LARGE('[1]Top25SFRA'!$A$5:$A$259,6),'[1]Top25SFRA'!$A$5:$P$259,15,FALSE)</f>
        <v>14410.5</v>
      </c>
      <c r="G8" s="12">
        <f>VLOOKUP(LARGE('[1]Top25SFRA'!$A$5:$A$259,6),'[1]Top25SFRA'!$A$5:$P$259,10,FALSE)/VLOOKUP(LARGE('[1]Top25SFRA'!$A$5:$A$259,6),'[1]Top25SFRA'!$A$5:$P$259,13,FALSE)*100</f>
        <v>43.97905759162304</v>
      </c>
      <c r="H8" s="13">
        <f>VLOOKUP(LARGE('[1]Top25SFRA'!$A$5:$A$259,6),'[1]Top25SFRA'!$A$5:$P$259,11,FALSE)/VLOOKUP(LARGE('[1]Top25SFRA'!$A$5:$A$259,6),'[1]Top25SFRA'!$A$5:$P$259,13,FALSE)*100</f>
        <v>56.02094240837696</v>
      </c>
      <c r="I8" s="12">
        <f>VLOOKUP(LARGE('[1]Top25SFRA'!$A$5:$A$259,6),'[1]Top25SFRA'!$A$5:$P$259,4,FALSE)/VLOOKUP(LARGE('[1]Top25SFRA'!$A$5:$A$259,6),'[1]Top25SFRA'!$A$5:$P$259,9,FALSE)*100</f>
        <v>0</v>
      </c>
      <c r="J8" s="14">
        <f>VLOOKUP(LARGE('[1]Top25SFRA'!$A$5:$A$259,6),'[1]Top25SFRA'!$A$5:$P$259,5,FALSE)/VLOOKUP(LARGE('[1]Top25SFRA'!$A$5:$A$259,6),'[1]Top25SFRA'!$A$5:$P$259,9,FALSE)*100</f>
        <v>17.277486910994764</v>
      </c>
      <c r="K8" s="14">
        <f>VLOOKUP(LARGE('[1]Top25SFRA'!$A$5:$A$259,6),'[1]Top25SFRA'!$A$5:$P$259,6,FALSE)/VLOOKUP(LARGE('[1]Top25SFRA'!$A$5:$A$259,6),'[1]Top25SFRA'!$A$5:$P$259,9,FALSE)*100</f>
        <v>50.26178010471204</v>
      </c>
      <c r="L8" s="14">
        <f>VLOOKUP(LARGE('[1]Top25SFRA'!$A$5:$A$259,6),'[1]Top25SFRA'!$A$5:$P$259,7,FALSE)/VLOOKUP(LARGE('[1]Top25SFRA'!$A$5:$A$259,6),'[1]Top25SFRA'!$A$5:$P$259,9,FALSE)*100</f>
        <v>32.460732984293195</v>
      </c>
    </row>
    <row r="9" spans="1:12" ht="11.25">
      <c r="A9" s="8" t="str">
        <f>VLOOKUP(LARGE('[1]Top25SFRA'!$A$5:$C$259,7),'[1]Top25SFRA'!$A$5:$C$259,3,FALSE)</f>
        <v>CHRONIC OBSTRUCTIVE PULMONARY DISEASE                                             </v>
      </c>
      <c r="B9" s="9">
        <f>VLOOKUP(LARGE('[1]Top25SFRA'!$A$5:$C$259,7),'[1]Top25SFRA'!$A$5:$C$259,1,FALSE)</f>
        <v>180</v>
      </c>
      <c r="C9" s="10">
        <f>VLOOKUP(LARGE('[1]Top25SFRA'!$A$5:$C$259,7),'[1]Top25SFRA'!$A$5:$C$259,1,FALSE)/'[1]Top25SFRA'!$I$260*100</f>
        <v>4.199720018665422</v>
      </c>
      <c r="D9" s="10">
        <f>(VLOOKUP(LARGE('[1]Top25SFRA'!$A$5:$C$259,7),'[1]Top25SFRA'!$A$5:$C$259,1,FALSE)/'[1]Top25SFRA'!$I$261*100)</f>
        <v>2.36655272153563</v>
      </c>
      <c r="E9" s="10">
        <f>VLOOKUP(LARGE('[1]Top25SFRA'!$A$5:$A$259,7),'[1]Top25SFRA'!$A$5:$P$259,14,FALSE)</f>
        <v>4.1</v>
      </c>
      <c r="F9" s="11">
        <f>VLOOKUP(LARGE('[1]Top25SFRA'!$A$5:$A$259,7),'[1]Top25SFRA'!$A$5:$P$259,15,FALSE)</f>
        <v>18550.53</v>
      </c>
      <c r="G9" s="12">
        <f>VLOOKUP(LARGE('[1]Top25SFRA'!$A$5:$A$259,7),'[1]Top25SFRA'!$A$5:$P$259,10,FALSE)/VLOOKUP(LARGE('[1]Top25SFRA'!$A$5:$A$259,7),'[1]Top25SFRA'!$A$5:$P$259,13,FALSE)*100</f>
        <v>46.111111111111114</v>
      </c>
      <c r="H9" s="13">
        <f>VLOOKUP(LARGE('[1]Top25SFRA'!$A$5:$A$259,7),'[1]Top25SFRA'!$A$5:$P$259,11,FALSE)/VLOOKUP(LARGE('[1]Top25SFRA'!$A$5:$A$259,7),'[1]Top25SFRA'!$A$5:$P$259,13,FALSE)*100</f>
        <v>53.888888888888886</v>
      </c>
      <c r="I9" s="12">
        <f>VLOOKUP(LARGE('[1]Top25SFRA'!$A$5:$A$259,7),'[1]Top25SFRA'!$A$5:$P$259,4,FALSE)/VLOOKUP(LARGE('[1]Top25SFRA'!$A$5:$A$259,7),'[1]Top25SFRA'!$A$5:$P$259,9,FALSE)*100</f>
        <v>0</v>
      </c>
      <c r="J9" s="14">
        <f>VLOOKUP(LARGE('[1]Top25SFRA'!$A$5:$A$259,7),'[1]Top25SFRA'!$A$5:$P$259,5,FALSE)/VLOOKUP(LARGE('[1]Top25SFRA'!$A$5:$A$259,7),'[1]Top25SFRA'!$A$5:$P$259,9,FALSE)*100</f>
        <v>4.444444444444445</v>
      </c>
      <c r="K9" s="14">
        <f>VLOOKUP(LARGE('[1]Top25SFRA'!$A$5:$A$259,7),'[1]Top25SFRA'!$A$5:$P$259,6,FALSE)/VLOOKUP(LARGE('[1]Top25SFRA'!$A$5:$A$259,7),'[1]Top25SFRA'!$A$5:$P$259,9,FALSE)*100</f>
        <v>40.55555555555556</v>
      </c>
      <c r="L9" s="14">
        <f>VLOOKUP(LARGE('[1]Top25SFRA'!$A$5:$A$259,7),'[1]Top25SFRA'!$A$5:$P$259,7,FALSE)/VLOOKUP(LARGE('[1]Top25SFRA'!$A$5:$A$259,7),'[1]Top25SFRA'!$A$5:$P$259,9,FALSE)*100</f>
        <v>55.00000000000001</v>
      </c>
    </row>
    <row r="10" spans="1:12" ht="11.25">
      <c r="A10" s="8" t="str">
        <f>VLOOKUP(LARGE('[1]Top25SFRA'!$A$5:$C$259,8),'[1]Top25SFRA'!$A$5:$C$259,3,FALSE)</f>
        <v>RENAL FAILURE                                                                     </v>
      </c>
      <c r="B10" s="9">
        <f>VLOOKUP(LARGE('[1]Top25SFRA'!$A$5:$C$259,8),'[1]Top25SFRA'!$A$5:$C$259,1,FALSE)</f>
        <v>152</v>
      </c>
      <c r="C10" s="10">
        <f>VLOOKUP(LARGE('[1]Top25SFRA'!$A$5:$C$259,8),'[1]Top25SFRA'!$A$5:$C$259,1,FALSE)/'[1]Top25SFRA'!$I$260*100</f>
        <v>3.546430237984134</v>
      </c>
      <c r="D10" s="10">
        <f>(VLOOKUP(LARGE('[1]Top25SFRA'!$A$5:$C$259,8),'[1]Top25SFRA'!$A$5:$C$259,1,FALSE)/'[1]Top25SFRA'!$I$261*100)</f>
        <v>1.998422298185643</v>
      </c>
      <c r="E10" s="10">
        <f>VLOOKUP(LARGE('[1]Top25SFRA'!$A$5:$A$259,8),'[1]Top25SFRA'!$A$5:$P$259,14,FALSE)</f>
        <v>6.1</v>
      </c>
      <c r="F10" s="11">
        <f>VLOOKUP(LARGE('[1]Top25SFRA'!$A$5:$A$259,8),'[1]Top25SFRA'!$A$5:$P$259,15,FALSE)</f>
        <v>25008.26</v>
      </c>
      <c r="G10" s="12">
        <f>VLOOKUP(LARGE('[1]Top25SFRA'!$A$5:$A$259,8),'[1]Top25SFRA'!$A$5:$P$259,10,FALSE)/VLOOKUP(LARGE('[1]Top25SFRA'!$A$5:$A$259,8),'[1]Top25SFRA'!$A$5:$P$259,13,FALSE)*100</f>
        <v>44.07894736842105</v>
      </c>
      <c r="H10" s="13">
        <f>VLOOKUP(LARGE('[1]Top25SFRA'!$A$5:$A$259,8),'[1]Top25SFRA'!$A$5:$P$259,11,FALSE)/VLOOKUP(LARGE('[1]Top25SFRA'!$A$5:$A$259,8),'[1]Top25SFRA'!$A$5:$P$259,13,FALSE)*100</f>
        <v>55.92105263157895</v>
      </c>
      <c r="I10" s="12">
        <f>VLOOKUP(LARGE('[1]Top25SFRA'!$A$5:$A$259,8),'[1]Top25SFRA'!$A$5:$P$259,4,FALSE)/VLOOKUP(LARGE('[1]Top25SFRA'!$A$5:$A$259,8),'[1]Top25SFRA'!$A$5:$P$259,9,FALSE)*100</f>
        <v>0</v>
      </c>
      <c r="J10" s="14">
        <f>VLOOKUP(LARGE('[1]Top25SFRA'!$A$5:$A$259,8),'[1]Top25SFRA'!$A$5:$P$259,5,FALSE)/VLOOKUP(LARGE('[1]Top25SFRA'!$A$5:$A$259,8),'[1]Top25SFRA'!$A$5:$P$259,9,FALSE)*100</f>
        <v>7.236842105263158</v>
      </c>
      <c r="K10" s="14">
        <f>VLOOKUP(LARGE('[1]Top25SFRA'!$A$5:$A$259,8),'[1]Top25SFRA'!$A$5:$P$259,6,FALSE)/VLOOKUP(LARGE('[1]Top25SFRA'!$A$5:$A$259,8),'[1]Top25SFRA'!$A$5:$P$259,9,FALSE)*100</f>
        <v>31.57894736842105</v>
      </c>
      <c r="L10" s="14">
        <f>VLOOKUP(LARGE('[1]Top25SFRA'!$A$5:$A$259,8),'[1]Top25SFRA'!$A$5:$P$259,7,FALSE)/VLOOKUP(LARGE('[1]Top25SFRA'!$A$5:$A$259,8),'[1]Top25SFRA'!$A$5:$P$259,9,FALSE)*100</f>
        <v>61.18421052631579</v>
      </c>
    </row>
    <row r="11" spans="1:12" ht="11.25">
      <c r="A11" s="8" t="str">
        <f>VLOOKUP(LARGE('[1]Top25SFRA'!$A$5:$C$259,9),'[1]Top25SFRA'!$A$5:$C$259,3,FALSE)</f>
        <v>OTHER PNEUMONIA                                                                   </v>
      </c>
      <c r="B11" s="9">
        <f>VLOOKUP(LARGE('[1]Top25SFRA'!$A$5:$C$259,9),'[1]Top25SFRA'!$A$5:$C$259,1,FALSE)</f>
        <v>145</v>
      </c>
      <c r="C11" s="10">
        <f>VLOOKUP(LARGE('[1]Top25SFRA'!$A$5:$C$259,9),'[1]Top25SFRA'!$A$5:$C$259,1,FALSE)/'[1]Top25SFRA'!$I$260*100</f>
        <v>3.3831077928138122</v>
      </c>
      <c r="D11" s="10">
        <f>(VLOOKUP(LARGE('[1]Top25SFRA'!$A$5:$C$259,9),'[1]Top25SFRA'!$A$5:$C$259,1,FALSE)/'[1]Top25SFRA'!$I$261*100)</f>
        <v>1.9063896923481463</v>
      </c>
      <c r="E11" s="10">
        <f>VLOOKUP(LARGE('[1]Top25SFRA'!$A$5:$A$259,9),'[1]Top25SFRA'!$A$5:$P$259,14,FALSE)</f>
        <v>3.9</v>
      </c>
      <c r="F11" s="11">
        <f>VLOOKUP(LARGE('[1]Top25SFRA'!$A$5:$A$259,9),'[1]Top25SFRA'!$A$5:$P$259,15,FALSE)</f>
        <v>18391.86</v>
      </c>
      <c r="G11" s="12">
        <f>VLOOKUP(LARGE('[1]Top25SFRA'!$A$5:$A$259,9),'[1]Top25SFRA'!$A$5:$P$259,10,FALSE)/VLOOKUP(LARGE('[1]Top25SFRA'!$A$5:$A$259,9),'[1]Top25SFRA'!$A$5:$P$259,13,FALSE)*100</f>
        <v>50.3448275862069</v>
      </c>
      <c r="H11" s="13">
        <f>VLOOKUP(LARGE('[1]Top25SFRA'!$A$5:$A$259,9),'[1]Top25SFRA'!$A$5:$P$259,11,FALSE)/VLOOKUP(LARGE('[1]Top25SFRA'!$A$5:$A$259,9),'[1]Top25SFRA'!$A$5:$P$259,13,FALSE)*100</f>
        <v>49.6551724137931</v>
      </c>
      <c r="I11" s="12">
        <f>VLOOKUP(LARGE('[1]Top25SFRA'!$A$5:$A$259,9),'[1]Top25SFRA'!$A$5:$P$259,4,FALSE)/VLOOKUP(LARGE('[1]Top25SFRA'!$A$5:$A$259,9),'[1]Top25SFRA'!$A$5:$P$259,9,FALSE)*100</f>
        <v>0</v>
      </c>
      <c r="J11" s="14">
        <f>VLOOKUP(LARGE('[1]Top25SFRA'!$A$5:$A$259,9),'[1]Top25SFRA'!$A$5:$P$259,5,FALSE)/VLOOKUP(LARGE('[1]Top25SFRA'!$A$5:$A$259,9),'[1]Top25SFRA'!$A$5:$P$259,9,FALSE)*100</f>
        <v>16.551724137931036</v>
      </c>
      <c r="K11" s="14">
        <f>VLOOKUP(LARGE('[1]Top25SFRA'!$A$5:$A$259,9),'[1]Top25SFRA'!$A$5:$P$259,6,FALSE)/VLOOKUP(LARGE('[1]Top25SFRA'!$A$5:$A$259,9),'[1]Top25SFRA'!$A$5:$P$259,9,FALSE)*100</f>
        <v>30.344827586206897</v>
      </c>
      <c r="L11" s="14">
        <f>VLOOKUP(LARGE('[1]Top25SFRA'!$A$5:$A$259,9),'[1]Top25SFRA'!$A$5:$P$259,7,FALSE)/VLOOKUP(LARGE('[1]Top25SFRA'!$A$5:$A$259,9),'[1]Top25SFRA'!$A$5:$P$259,9,FALSE)*100</f>
        <v>53.103448275862064</v>
      </c>
    </row>
    <row r="12" spans="1:12" ht="11.25">
      <c r="A12" s="8" t="str">
        <f>VLOOKUP(LARGE('[1]Top25SFRA'!$A$5:$C$259,10),'[1]Top25SFRA'!$A$5:$C$259,3,FALSE)</f>
        <v>KIDNEY &amp; URINARY TRACT INFECTIONS                                                 </v>
      </c>
      <c r="B12" s="9">
        <f>VLOOKUP(LARGE('[1]Top25SFRA'!$A$5:$C$259,10),'[1]Top25SFRA'!$A$5:$C$259,1,FALSE)</f>
        <v>121</v>
      </c>
      <c r="C12" s="10">
        <f>VLOOKUP(LARGE('[1]Top25SFRA'!$A$5:$C$259,10),'[1]Top25SFRA'!$A$5:$C$259,1,FALSE)/'[1]Top25SFRA'!$I$260*100</f>
        <v>2.823145123658423</v>
      </c>
      <c r="D12" s="10">
        <f>(VLOOKUP(LARGE('[1]Top25SFRA'!$A$5:$C$259,10),'[1]Top25SFRA'!$A$5:$C$259,1,FALSE)/'[1]Top25SFRA'!$I$261*100)</f>
        <v>1.590849329476729</v>
      </c>
      <c r="E12" s="10">
        <f>VLOOKUP(LARGE('[1]Top25SFRA'!$A$5:$A$259,10),'[1]Top25SFRA'!$A$5:$P$259,14,FALSE)</f>
        <v>4.4</v>
      </c>
      <c r="F12" s="11">
        <f>VLOOKUP(LARGE('[1]Top25SFRA'!$A$5:$A$259,10),'[1]Top25SFRA'!$A$5:$P$259,15,FALSE)</f>
        <v>17485.69</v>
      </c>
      <c r="G12" s="12">
        <f>VLOOKUP(LARGE('[1]Top25SFRA'!$A$5:$A$259,10),'[1]Top25SFRA'!$A$5:$P$259,10,FALSE)/VLOOKUP(LARGE('[1]Top25SFRA'!$A$5:$A$259,10),'[1]Top25SFRA'!$A$5:$P$259,13,FALSE)*100</f>
        <v>23.96694214876033</v>
      </c>
      <c r="H12" s="13">
        <f>VLOOKUP(LARGE('[1]Top25SFRA'!$A$5:$A$259,10),'[1]Top25SFRA'!$A$5:$P$259,11,FALSE)/VLOOKUP(LARGE('[1]Top25SFRA'!$A$5:$A$259,10),'[1]Top25SFRA'!$A$5:$P$259,13,FALSE)*100</f>
        <v>76.03305785123968</v>
      </c>
      <c r="I12" s="12">
        <f>VLOOKUP(LARGE('[1]Top25SFRA'!$A$5:$A$259,10),'[1]Top25SFRA'!$A$5:$P$259,4,FALSE)/VLOOKUP(LARGE('[1]Top25SFRA'!$A$5:$A$259,10),'[1]Top25SFRA'!$A$5:$P$259,9,FALSE)*100</f>
        <v>0.8264462809917356</v>
      </c>
      <c r="J12" s="14">
        <f>VLOOKUP(LARGE('[1]Top25SFRA'!$A$5:$A$259,10),'[1]Top25SFRA'!$A$5:$P$259,5,FALSE)/VLOOKUP(LARGE('[1]Top25SFRA'!$A$5:$A$259,10),'[1]Top25SFRA'!$A$5:$P$259,9,FALSE)*100</f>
        <v>12.396694214876034</v>
      </c>
      <c r="K12" s="14">
        <f>VLOOKUP(LARGE('[1]Top25SFRA'!$A$5:$A$259,10),'[1]Top25SFRA'!$A$5:$P$259,6,FALSE)/VLOOKUP(LARGE('[1]Top25SFRA'!$A$5:$A$259,10),'[1]Top25SFRA'!$A$5:$P$259,9,FALSE)*100</f>
        <v>24.793388429752067</v>
      </c>
      <c r="L12" s="14">
        <f>VLOOKUP(LARGE('[1]Top25SFRA'!$A$5:$A$259,10),'[1]Top25SFRA'!$A$5:$P$259,7,FALSE)/VLOOKUP(LARGE('[1]Top25SFRA'!$A$5:$A$259,10),'[1]Top25SFRA'!$A$5:$P$259,9,FALSE)*100</f>
        <v>61.98347107438017</v>
      </c>
    </row>
    <row r="13" spans="1:12" ht="11.25">
      <c r="A13" s="8" t="str">
        <f>VLOOKUP(LARGE('[1]Top25SFRA'!$A$5:$C$259,11),'[1]Top25SFRA'!$A$5:$C$259,3,FALSE)</f>
        <v>CARDIAC CATHETERIZATION FOR ISCHEMIC HEART DISEASE                                </v>
      </c>
      <c r="B13" s="9">
        <f>VLOOKUP(LARGE('[1]Top25SFRA'!$A$5:$C$259,11),'[1]Top25SFRA'!$A$5:$C$259,1,FALSE)</f>
        <v>117</v>
      </c>
      <c r="C13" s="10">
        <f>VLOOKUP(LARGE('[1]Top25SFRA'!$A$5:$C$259,11),'[1]Top25SFRA'!$A$5:$C$259,1,FALSE)/'[1]Top25SFRA'!$I$260*100</f>
        <v>2.729818012132524</v>
      </c>
      <c r="D13" s="10">
        <f>(VLOOKUP(LARGE('[1]Top25SFRA'!$A$5:$C$259,11),'[1]Top25SFRA'!$A$5:$C$259,1,FALSE)/'[1]Top25SFRA'!$I$261*100)</f>
        <v>1.5382592689981593</v>
      </c>
      <c r="E13" s="10">
        <f>VLOOKUP(LARGE('[1]Top25SFRA'!$A$5:$A$259,11),'[1]Top25SFRA'!$A$5:$P$259,14,FALSE)</f>
        <v>3.2</v>
      </c>
      <c r="F13" s="11">
        <f>VLOOKUP(LARGE('[1]Top25SFRA'!$A$5:$A$259,11),'[1]Top25SFRA'!$A$5:$P$259,15,FALSE)</f>
        <v>34316.83</v>
      </c>
      <c r="G13" s="12">
        <f>VLOOKUP(LARGE('[1]Top25SFRA'!$A$5:$A$259,11),'[1]Top25SFRA'!$A$5:$P$259,10,FALSE)/VLOOKUP(LARGE('[1]Top25SFRA'!$A$5:$A$259,11),'[1]Top25SFRA'!$A$5:$P$259,13,FALSE)*100</f>
        <v>40.17094017094017</v>
      </c>
      <c r="H13" s="13">
        <f>VLOOKUP(LARGE('[1]Top25SFRA'!$A$5:$A$259,11),'[1]Top25SFRA'!$A$5:$P$259,11,FALSE)/VLOOKUP(LARGE('[1]Top25SFRA'!$A$5:$A$259,11),'[1]Top25SFRA'!$A$5:$P$259,13,FALSE)*100</f>
        <v>59.82905982905983</v>
      </c>
      <c r="I13" s="12">
        <f>VLOOKUP(LARGE('[1]Top25SFRA'!$A$5:$A$259,11),'[1]Top25SFRA'!$A$5:$P$259,4,FALSE)/VLOOKUP(LARGE('[1]Top25SFRA'!$A$5:$A$259,11),'[1]Top25SFRA'!$A$5:$P$259,9,FALSE)*100</f>
        <v>0</v>
      </c>
      <c r="J13" s="14">
        <f>VLOOKUP(LARGE('[1]Top25SFRA'!$A$5:$A$259,11),'[1]Top25SFRA'!$A$5:$P$259,5,FALSE)/VLOOKUP(LARGE('[1]Top25SFRA'!$A$5:$A$259,11),'[1]Top25SFRA'!$A$5:$P$259,9,FALSE)*100</f>
        <v>9.401709401709402</v>
      </c>
      <c r="K13" s="14">
        <f>VLOOKUP(LARGE('[1]Top25SFRA'!$A$5:$A$259,11),'[1]Top25SFRA'!$A$5:$P$259,6,FALSE)/VLOOKUP(LARGE('[1]Top25SFRA'!$A$5:$A$259,11),'[1]Top25SFRA'!$A$5:$P$259,9,FALSE)*100</f>
        <v>60.68376068376068</v>
      </c>
      <c r="L13" s="14">
        <f>VLOOKUP(LARGE('[1]Top25SFRA'!$A$5:$A$259,11),'[1]Top25SFRA'!$A$5:$P$259,7,FALSE)/VLOOKUP(LARGE('[1]Top25SFRA'!$A$5:$A$259,11),'[1]Top25SFRA'!$A$5:$P$259,9,FALSE)*100</f>
        <v>29.914529914529915</v>
      </c>
    </row>
    <row r="14" spans="1:12" ht="11.25">
      <c r="A14" s="8" t="str">
        <f>VLOOKUP(LARGE('[1]Top25SFRA'!$A$5:$C$259,12),'[1]Top25SFRA'!$A$5:$C$259,3,FALSE)</f>
        <v>CELLULITIS &amp; OTHER BACTERIAL SKIN INFECTIONS                                      </v>
      </c>
      <c r="B14" s="9">
        <f>VLOOKUP(LARGE('[1]Top25SFRA'!$A$5:$C$259,12),'[1]Top25SFRA'!$A$5:$C$259,1,FALSE)</f>
        <v>112.001</v>
      </c>
      <c r="C14" s="10">
        <f>VLOOKUP(LARGE('[1]Top25SFRA'!$A$5:$C$259,12),'[1]Top25SFRA'!$A$5:$C$259,1,FALSE)/'[1]Top25SFRA'!$I$260*100</f>
        <v>2.613182454503033</v>
      </c>
      <c r="D14" s="10">
        <f>(VLOOKUP(LARGE('[1]Top25SFRA'!$A$5:$C$259,12),'[1]Top25SFRA'!$A$5:$C$259,1,FALSE)/'[1]Top25SFRA'!$I$261*100)</f>
        <v>1.4725348409150671</v>
      </c>
      <c r="E14" s="10">
        <f>VLOOKUP(LARGE('[1]Top25SFRA'!$A$5:$A$259,12),'[1]Top25SFRA'!$A$5:$P$259,14,FALSE)</f>
        <v>3.3</v>
      </c>
      <c r="F14" s="11">
        <f>VLOOKUP(LARGE('[1]Top25SFRA'!$A$5:$A$259,12),'[1]Top25SFRA'!$A$5:$P$259,15,FALSE)</f>
        <v>14333.92</v>
      </c>
      <c r="G14" s="12">
        <f>VLOOKUP(LARGE('[1]Top25SFRA'!$A$5:$A$259,12),'[1]Top25SFRA'!$A$5:$P$259,10,FALSE)/VLOOKUP(LARGE('[1]Top25SFRA'!$A$5:$A$259,12),'[1]Top25SFRA'!$A$5:$P$259,13,FALSE)*100</f>
        <v>50.89285714285714</v>
      </c>
      <c r="H14" s="13">
        <f>VLOOKUP(LARGE('[1]Top25SFRA'!$A$5:$A$259,12),'[1]Top25SFRA'!$A$5:$P$259,11,FALSE)/VLOOKUP(LARGE('[1]Top25SFRA'!$A$5:$A$259,12),'[1]Top25SFRA'!$A$5:$P$259,13,FALSE)*100</f>
        <v>49.107142857142854</v>
      </c>
      <c r="I14" s="12">
        <f>VLOOKUP(LARGE('[1]Top25SFRA'!$A$5:$A$259,12),'[1]Top25SFRA'!$A$5:$P$259,4,FALSE)/VLOOKUP(LARGE('[1]Top25SFRA'!$A$5:$A$259,12),'[1]Top25SFRA'!$A$5:$P$259,9,FALSE)*100</f>
        <v>0.8928571428571428</v>
      </c>
      <c r="J14" s="14">
        <f>VLOOKUP(LARGE('[1]Top25SFRA'!$A$5:$A$259,12),'[1]Top25SFRA'!$A$5:$P$259,5,FALSE)/VLOOKUP(LARGE('[1]Top25SFRA'!$A$5:$A$259,12),'[1]Top25SFRA'!$A$5:$P$259,9,FALSE)*100</f>
        <v>39.285714285714285</v>
      </c>
      <c r="K14" s="14">
        <f>VLOOKUP(LARGE('[1]Top25SFRA'!$A$5:$A$259,12),'[1]Top25SFRA'!$A$5:$P$259,6,FALSE)/VLOOKUP(LARGE('[1]Top25SFRA'!$A$5:$A$259,12),'[1]Top25SFRA'!$A$5:$P$259,9,FALSE)*100</f>
        <v>36.607142857142854</v>
      </c>
      <c r="L14" s="14">
        <f>VLOOKUP(LARGE('[1]Top25SFRA'!$A$5:$A$259,12),'[1]Top25SFRA'!$A$5:$P$259,7,FALSE)/VLOOKUP(LARGE('[1]Top25SFRA'!$A$5:$A$259,12),'[1]Top25SFRA'!$A$5:$P$259,9,FALSE)*100</f>
        <v>23.214285714285715</v>
      </c>
    </row>
    <row r="15" spans="1:12" ht="11.25">
      <c r="A15" s="8" t="str">
        <f>VLOOKUP(LARGE('[1]Top25SFRA'!$A$5:$C$259,13),'[1]Top25SFRA'!$A$5:$C$259,3,FALSE)</f>
        <v>CARDIAC ARRHYTHMIA &amp; CONDUCTION DISORDERS                                         </v>
      </c>
      <c r="B15" s="9">
        <f>VLOOKUP(LARGE('[1]Top25SFRA'!$A$5:$C$259,13),'[1]Top25SFRA'!$A$5:$C$259,1,FALSE)</f>
        <v>112</v>
      </c>
      <c r="C15" s="10">
        <f>VLOOKUP(LARGE('[1]Top25SFRA'!$A$5:$C$259,13),'[1]Top25SFRA'!$A$5:$C$259,1,FALSE)/'[1]Top25SFRA'!$I$260*100</f>
        <v>2.6131591227251514</v>
      </c>
      <c r="D15" s="10">
        <f>(VLOOKUP(LARGE('[1]Top25SFRA'!$A$5:$C$259,13),'[1]Top25SFRA'!$A$5:$C$259,1,FALSE)/'[1]Top25SFRA'!$I$261*100)</f>
        <v>1.4725216933999474</v>
      </c>
      <c r="E15" s="10">
        <f>VLOOKUP(LARGE('[1]Top25SFRA'!$A$5:$A$259,13),'[1]Top25SFRA'!$A$5:$P$259,14,FALSE)</f>
        <v>3.1</v>
      </c>
      <c r="F15" s="11">
        <f>VLOOKUP(LARGE('[1]Top25SFRA'!$A$5:$A$259,13),'[1]Top25SFRA'!$A$5:$P$259,15,FALSE)</f>
        <v>14559.66</v>
      </c>
      <c r="G15" s="12">
        <f>VLOOKUP(LARGE('[1]Top25SFRA'!$A$5:$A$259,13),'[1]Top25SFRA'!$A$5:$P$259,10,FALSE)/VLOOKUP(LARGE('[1]Top25SFRA'!$A$5:$A$259,13),'[1]Top25SFRA'!$A$5:$P$259,13,FALSE)*100</f>
        <v>50</v>
      </c>
      <c r="H15" s="13">
        <f>VLOOKUP(LARGE('[1]Top25SFRA'!$A$5:$A$259,13),'[1]Top25SFRA'!$A$5:$P$259,11,FALSE)/VLOOKUP(LARGE('[1]Top25SFRA'!$A$5:$A$259,13),'[1]Top25SFRA'!$A$5:$P$259,13,FALSE)*100</f>
        <v>50</v>
      </c>
      <c r="I15" s="12">
        <f>VLOOKUP(LARGE('[1]Top25SFRA'!$A$5:$A$259,13),'[1]Top25SFRA'!$A$5:$P$259,4,FALSE)/VLOOKUP(LARGE('[1]Top25SFRA'!$A$5:$A$259,13),'[1]Top25SFRA'!$A$5:$P$259,9,FALSE)*100</f>
        <v>0</v>
      </c>
      <c r="J15" s="14">
        <f>VLOOKUP(LARGE('[1]Top25SFRA'!$A$5:$A$259,13),'[1]Top25SFRA'!$A$5:$P$259,5,FALSE)/VLOOKUP(LARGE('[1]Top25SFRA'!$A$5:$A$259,13),'[1]Top25SFRA'!$A$5:$P$259,9,FALSE)*100</f>
        <v>4.464285714285714</v>
      </c>
      <c r="K15" s="14">
        <f>VLOOKUP(LARGE('[1]Top25SFRA'!$A$5:$A$259,13),'[1]Top25SFRA'!$A$5:$P$259,6,FALSE)/VLOOKUP(LARGE('[1]Top25SFRA'!$A$5:$A$259,13),'[1]Top25SFRA'!$A$5:$P$259,9,FALSE)*100</f>
        <v>25</v>
      </c>
      <c r="L15" s="14">
        <f>VLOOKUP(LARGE('[1]Top25SFRA'!$A$5:$A$259,13),'[1]Top25SFRA'!$A$5:$P$259,7,FALSE)/VLOOKUP(LARGE('[1]Top25SFRA'!$A$5:$A$259,13),'[1]Top25SFRA'!$A$5:$P$259,9,FALSE)*100</f>
        <v>70.53571428571429</v>
      </c>
    </row>
    <row r="16" spans="1:12" ht="11.25">
      <c r="A16" s="8" t="str">
        <f>VLOOKUP(LARGE('[1]Top25SFRA'!$A$5:$C$259,14),'[1]Top25SFRA'!$A$5:$C$259,3,FALSE)</f>
        <v>PERCUTANEOUS CARDIOVASCULAR PROCEDURES W/O AMI                                    </v>
      </c>
      <c r="B16" s="9">
        <f>VLOOKUP(LARGE('[1]Top25SFRA'!$A$5:$C$259,14),'[1]Top25SFRA'!$A$5:$C$259,1,FALSE)</f>
        <v>110</v>
      </c>
      <c r="C16" s="10">
        <f>VLOOKUP(LARGE('[1]Top25SFRA'!$A$5:$C$259,14),'[1]Top25SFRA'!$A$5:$C$259,1,FALSE)/'[1]Top25SFRA'!$I$260*100</f>
        <v>2.5664955669622023</v>
      </c>
      <c r="D16" s="10">
        <f>(VLOOKUP(LARGE('[1]Top25SFRA'!$A$5:$C$259,14),'[1]Top25SFRA'!$A$5:$C$259,1,FALSE)/'[1]Top25SFRA'!$I$261*100)</f>
        <v>1.4462266631606626</v>
      </c>
      <c r="E16" s="10">
        <f>VLOOKUP(LARGE('[1]Top25SFRA'!$A$5:$A$259,14),'[1]Top25SFRA'!$A$5:$P$259,14,FALSE)</f>
        <v>3.3</v>
      </c>
      <c r="F16" s="11">
        <f>VLOOKUP(LARGE('[1]Top25SFRA'!$A$5:$A$259,14),'[1]Top25SFRA'!$A$5:$P$259,15,FALSE)</f>
        <v>60117.22</v>
      </c>
      <c r="G16" s="12">
        <f>VLOOKUP(LARGE('[1]Top25SFRA'!$A$5:$A$259,14),'[1]Top25SFRA'!$A$5:$P$259,10,FALSE)/VLOOKUP(LARGE('[1]Top25SFRA'!$A$5:$A$259,14),'[1]Top25SFRA'!$A$5:$P$259,13,FALSE)*100</f>
        <v>55.45454545454545</v>
      </c>
      <c r="H16" s="13">
        <f>VLOOKUP(LARGE('[1]Top25SFRA'!$A$5:$A$259,14),'[1]Top25SFRA'!$A$5:$P$259,11,FALSE)/VLOOKUP(LARGE('[1]Top25SFRA'!$A$5:$A$259,14),'[1]Top25SFRA'!$A$5:$P$259,13,FALSE)*100</f>
        <v>44.54545454545455</v>
      </c>
      <c r="I16" s="12">
        <f>VLOOKUP(LARGE('[1]Top25SFRA'!$A$5:$A$259,14),'[1]Top25SFRA'!$A$5:$P$259,4,FALSE)/VLOOKUP(LARGE('[1]Top25SFRA'!$A$5:$A$259,14),'[1]Top25SFRA'!$A$5:$P$259,9,FALSE)*100</f>
        <v>0</v>
      </c>
      <c r="J16" s="14">
        <f>VLOOKUP(LARGE('[1]Top25SFRA'!$A$5:$A$259,14),'[1]Top25SFRA'!$A$5:$P$259,5,FALSE)/VLOOKUP(LARGE('[1]Top25SFRA'!$A$5:$A$259,14),'[1]Top25SFRA'!$A$5:$P$259,9,FALSE)*100</f>
        <v>4.545454545454546</v>
      </c>
      <c r="K16" s="14">
        <f>VLOOKUP(LARGE('[1]Top25SFRA'!$A$5:$A$259,14),'[1]Top25SFRA'!$A$5:$P$259,6,FALSE)/VLOOKUP(LARGE('[1]Top25SFRA'!$A$5:$A$259,14),'[1]Top25SFRA'!$A$5:$P$259,9,FALSE)*100</f>
        <v>47.27272727272727</v>
      </c>
      <c r="L16" s="14">
        <f>VLOOKUP(LARGE('[1]Top25SFRA'!$A$5:$A$259,14),'[1]Top25SFRA'!$A$5:$P$259,7,FALSE)/VLOOKUP(LARGE('[1]Top25SFRA'!$A$5:$A$259,14),'[1]Top25SFRA'!$A$5:$P$259,9,FALSE)*100</f>
        <v>48.18181818181818</v>
      </c>
    </row>
    <row r="17" spans="1:12" ht="11.25">
      <c r="A17" s="8" t="str">
        <f>VLOOKUP(LARGE('[1]Top25SFRA'!$A$5:$C$259,15),'[1]Top25SFRA'!$A$5:$C$259,3,FALSE)</f>
        <v>PROCEDURES FOR OBESITY                                                            </v>
      </c>
      <c r="B17" s="9">
        <f>VLOOKUP(LARGE('[1]Top25SFRA'!$A$5:$C$259,15),'[1]Top25SFRA'!$A$5:$C$259,1,FALSE)</f>
        <v>101</v>
      </c>
      <c r="C17" s="10">
        <f>VLOOKUP(LARGE('[1]Top25SFRA'!$A$5:$C$259,15),'[1]Top25SFRA'!$A$5:$C$259,1,FALSE)/'[1]Top25SFRA'!$I$260*100</f>
        <v>2.3565095660289312</v>
      </c>
      <c r="D17" s="10">
        <f>(VLOOKUP(LARGE('[1]Top25SFRA'!$A$5:$C$259,15),'[1]Top25SFRA'!$A$5:$C$259,1,FALSE)/'[1]Top25SFRA'!$I$261*100)</f>
        <v>1.327899027083881</v>
      </c>
      <c r="E17" s="10">
        <f>VLOOKUP(LARGE('[1]Top25SFRA'!$A$5:$A$259,15),'[1]Top25SFRA'!$A$5:$P$259,14,FALSE)</f>
        <v>1.9</v>
      </c>
      <c r="F17" s="11">
        <f>VLOOKUP(LARGE('[1]Top25SFRA'!$A$5:$A$259,15),'[1]Top25SFRA'!$A$5:$P$259,15,FALSE)</f>
        <v>33440.79</v>
      </c>
      <c r="G17" s="12">
        <f>VLOOKUP(LARGE('[1]Top25SFRA'!$A$5:$A$259,15),'[1]Top25SFRA'!$A$5:$P$259,10,FALSE)/VLOOKUP(LARGE('[1]Top25SFRA'!$A$5:$A$259,15),'[1]Top25SFRA'!$A$5:$P$259,13,FALSE)*100</f>
        <v>12.871287128712872</v>
      </c>
      <c r="H17" s="13">
        <f>VLOOKUP(LARGE('[1]Top25SFRA'!$A$5:$A$259,15),'[1]Top25SFRA'!$A$5:$P$259,11,FALSE)/VLOOKUP(LARGE('[1]Top25SFRA'!$A$5:$A$259,15),'[1]Top25SFRA'!$A$5:$P$259,13,FALSE)*100</f>
        <v>87.12871287128714</v>
      </c>
      <c r="I17" s="12">
        <f>VLOOKUP(LARGE('[1]Top25SFRA'!$A$5:$A$259,15),'[1]Top25SFRA'!$A$5:$P$259,4,FALSE)/VLOOKUP(LARGE('[1]Top25SFRA'!$A$5:$A$259,15),'[1]Top25SFRA'!$A$5:$P$259,9,FALSE)*100</f>
        <v>0</v>
      </c>
      <c r="J17" s="14">
        <f>VLOOKUP(LARGE('[1]Top25SFRA'!$A$5:$A$259,15),'[1]Top25SFRA'!$A$5:$P$259,5,FALSE)/VLOOKUP(LARGE('[1]Top25SFRA'!$A$5:$A$259,15),'[1]Top25SFRA'!$A$5:$P$259,9,FALSE)*100</f>
        <v>45.54455445544555</v>
      </c>
      <c r="K17" s="14">
        <f>VLOOKUP(LARGE('[1]Top25SFRA'!$A$5:$A$259,15),'[1]Top25SFRA'!$A$5:$P$259,6,FALSE)/VLOOKUP(LARGE('[1]Top25SFRA'!$A$5:$A$259,15),'[1]Top25SFRA'!$A$5:$P$259,9,FALSE)*100</f>
        <v>46.53465346534654</v>
      </c>
      <c r="L17" s="14">
        <f>VLOOKUP(LARGE('[1]Top25SFRA'!$A$5:$A$259,15),'[1]Top25SFRA'!$A$5:$P$259,7,FALSE)/VLOOKUP(LARGE('[1]Top25SFRA'!$A$5:$A$259,15),'[1]Top25SFRA'!$A$5:$P$259,9,FALSE)*100</f>
        <v>7.920792079207921</v>
      </c>
    </row>
    <row r="18" spans="1:12" ht="11.25">
      <c r="A18" s="8" t="str">
        <f>VLOOKUP(LARGE('[1]Top25SFRA'!$A$5:$C$259,16),'[1]Top25SFRA'!$A$5:$C$259,3,FALSE)</f>
        <v>REHABILITATION                                                                    </v>
      </c>
      <c r="B18" s="9">
        <f>VLOOKUP(LARGE('[1]Top25SFRA'!$A$5:$C$259,16),'[1]Top25SFRA'!$A$5:$C$259,1,FALSE)</f>
        <v>99</v>
      </c>
      <c r="C18" s="10">
        <f>VLOOKUP(LARGE('[1]Top25SFRA'!$A$5:$C$259,16),'[1]Top25SFRA'!$A$5:$C$259,1,FALSE)/'[1]Top25SFRA'!$I$260*100</f>
        <v>2.309846010265982</v>
      </c>
      <c r="D18" s="10">
        <f>(VLOOKUP(LARGE('[1]Top25SFRA'!$A$5:$C$259,16),'[1]Top25SFRA'!$A$5:$C$259,1,FALSE)/'[1]Top25SFRA'!$I$261*100)</f>
        <v>1.3016039968445965</v>
      </c>
      <c r="E18" s="10">
        <f>VLOOKUP(LARGE('[1]Top25SFRA'!$A$5:$A$259,16),'[1]Top25SFRA'!$A$5:$P$259,14,FALSE)</f>
        <v>15.9</v>
      </c>
      <c r="F18" s="11">
        <f>VLOOKUP(LARGE('[1]Top25SFRA'!$A$5:$A$259,16),'[1]Top25SFRA'!$A$5:$P$259,15,FALSE)</f>
        <v>39122.37</v>
      </c>
      <c r="G18" s="12">
        <f>VLOOKUP(LARGE('[1]Top25SFRA'!$A$5:$A$259,16),'[1]Top25SFRA'!$A$5:$P$259,10,FALSE)/VLOOKUP(LARGE('[1]Top25SFRA'!$A$5:$A$259,16),'[1]Top25SFRA'!$A$5:$P$259,13,FALSE)*100</f>
        <v>39.39393939393939</v>
      </c>
      <c r="H18" s="13">
        <f>VLOOKUP(LARGE('[1]Top25SFRA'!$A$5:$A$259,16),'[1]Top25SFRA'!$A$5:$P$259,11,FALSE)/VLOOKUP(LARGE('[1]Top25SFRA'!$A$5:$A$259,16),'[1]Top25SFRA'!$A$5:$P$259,13,FALSE)*100</f>
        <v>60.60606060606061</v>
      </c>
      <c r="I18" s="12">
        <f>VLOOKUP(LARGE('[1]Top25SFRA'!$A$5:$A$259,16),'[1]Top25SFRA'!$A$5:$P$259,4,FALSE)/VLOOKUP(LARGE('[1]Top25SFRA'!$A$5:$A$259,16),'[1]Top25SFRA'!$A$5:$P$259,9,FALSE)*100</f>
        <v>0</v>
      </c>
      <c r="J18" s="14">
        <f>VLOOKUP(LARGE('[1]Top25SFRA'!$A$5:$A$259,16),'[1]Top25SFRA'!$A$5:$P$259,5,FALSE)/VLOOKUP(LARGE('[1]Top25SFRA'!$A$5:$A$259,16),'[1]Top25SFRA'!$A$5:$P$259,9,FALSE)*100</f>
        <v>7.07070707070707</v>
      </c>
      <c r="K18" s="14">
        <f>VLOOKUP(LARGE('[1]Top25SFRA'!$A$5:$A$259,16),'[1]Top25SFRA'!$A$5:$P$259,6,FALSE)/VLOOKUP(LARGE('[1]Top25SFRA'!$A$5:$A$259,16),'[1]Top25SFRA'!$A$5:$P$259,9,FALSE)*100</f>
        <v>24.242424242424242</v>
      </c>
      <c r="L18" s="14">
        <f>VLOOKUP(LARGE('[1]Top25SFRA'!$A$5:$A$259,16),'[1]Top25SFRA'!$A$5:$P$259,7,FALSE)/VLOOKUP(LARGE('[1]Top25SFRA'!$A$5:$A$259,16),'[1]Top25SFRA'!$A$5:$P$259,9,FALSE)*100</f>
        <v>68.68686868686868</v>
      </c>
    </row>
    <row r="19" spans="1:12" ht="11.25">
      <c r="A19" s="8" t="str">
        <f>VLOOKUP(LARGE('[1]Top25SFRA'!$A$5:$C$259,17),'[1]Top25SFRA'!$A$5:$C$259,3,FALSE)</f>
        <v>DIABETES                                                                          </v>
      </c>
      <c r="B19" s="9">
        <f>VLOOKUP(LARGE('[1]Top25SFRA'!$A$5:$C$259,17),'[1]Top25SFRA'!$A$5:$C$259,1,FALSE)</f>
        <v>95</v>
      </c>
      <c r="C19" s="10">
        <f>VLOOKUP(LARGE('[1]Top25SFRA'!$A$5:$C$259,17),'[1]Top25SFRA'!$A$5:$C$259,1,FALSE)/'[1]Top25SFRA'!$I$260*100</f>
        <v>2.216518898740084</v>
      </c>
      <c r="D19" s="10">
        <f>(VLOOKUP(LARGE('[1]Top25SFRA'!$A$5:$C$259,17),'[1]Top25SFRA'!$A$5:$C$259,1,FALSE)/'[1]Top25SFRA'!$I$261*100)</f>
        <v>1.2490139363660269</v>
      </c>
      <c r="E19" s="10">
        <f>VLOOKUP(LARGE('[1]Top25SFRA'!$A$5:$A$259,17),'[1]Top25SFRA'!$A$5:$P$259,14,FALSE)</f>
        <v>3.9</v>
      </c>
      <c r="F19" s="11">
        <f>VLOOKUP(LARGE('[1]Top25SFRA'!$A$5:$A$259,17),'[1]Top25SFRA'!$A$5:$P$259,15,FALSE)</f>
        <v>17080.18</v>
      </c>
      <c r="G19" s="12">
        <f>VLOOKUP(LARGE('[1]Top25SFRA'!$A$5:$A$259,17),'[1]Top25SFRA'!$A$5:$P$259,10,FALSE)/VLOOKUP(LARGE('[1]Top25SFRA'!$A$5:$A$259,17),'[1]Top25SFRA'!$A$5:$P$259,13,FALSE)*100</f>
        <v>52.63157894736842</v>
      </c>
      <c r="H19" s="13">
        <f>VLOOKUP(LARGE('[1]Top25SFRA'!$A$5:$A$259,17),'[1]Top25SFRA'!$A$5:$P$259,11,FALSE)/VLOOKUP(LARGE('[1]Top25SFRA'!$A$5:$A$259,17),'[1]Top25SFRA'!$A$5:$P$259,13,FALSE)*100</f>
        <v>47.368421052631575</v>
      </c>
      <c r="I19" s="12">
        <f>VLOOKUP(LARGE('[1]Top25SFRA'!$A$5:$A$259,17),'[1]Top25SFRA'!$A$5:$P$259,4,FALSE)/VLOOKUP(LARGE('[1]Top25SFRA'!$A$5:$A$259,17),'[1]Top25SFRA'!$A$5:$P$259,9,FALSE)*100</f>
        <v>1.0526315789473684</v>
      </c>
      <c r="J19" s="14">
        <f>VLOOKUP(LARGE('[1]Top25SFRA'!$A$5:$A$259,17),'[1]Top25SFRA'!$A$5:$P$259,5,FALSE)/VLOOKUP(LARGE('[1]Top25SFRA'!$A$5:$A$259,17),'[1]Top25SFRA'!$A$5:$P$259,9,FALSE)*100</f>
        <v>21.052631578947366</v>
      </c>
      <c r="K19" s="14">
        <f>VLOOKUP(LARGE('[1]Top25SFRA'!$A$5:$A$259,17),'[1]Top25SFRA'!$A$5:$P$259,6,FALSE)/VLOOKUP(LARGE('[1]Top25SFRA'!$A$5:$A$259,17),'[1]Top25SFRA'!$A$5:$P$259,9,FALSE)*100</f>
        <v>44.21052631578947</v>
      </c>
      <c r="L19" s="14">
        <f>VLOOKUP(LARGE('[1]Top25SFRA'!$A$5:$A$259,17),'[1]Top25SFRA'!$A$5:$P$259,7,FALSE)/VLOOKUP(LARGE('[1]Top25SFRA'!$A$5:$A$259,17),'[1]Top25SFRA'!$A$5:$P$259,9,FALSE)*100</f>
        <v>33.68421052631579</v>
      </c>
    </row>
    <row r="20" spans="1:12" ht="11.25">
      <c r="A20" s="8" t="str">
        <f>VLOOKUP(LARGE('[1]Top25SFRA'!$A$5:$C$259,18),'[1]Top25SFRA'!$A$5:$C$259,3,FALSE)</f>
        <v>SYNCOPE &amp; COLLAPSE                                                                </v>
      </c>
      <c r="B20" s="9">
        <f>VLOOKUP(LARGE('[1]Top25SFRA'!$A$5:$C$259,18),'[1]Top25SFRA'!$A$5:$C$259,1,FALSE)</f>
        <v>87</v>
      </c>
      <c r="C20" s="10">
        <f>VLOOKUP(LARGE('[1]Top25SFRA'!$A$5:$C$259,18),'[1]Top25SFRA'!$A$5:$C$259,1,FALSE)/'[1]Top25SFRA'!$I$260*100</f>
        <v>2.0298646756882874</v>
      </c>
      <c r="D20" s="10">
        <f>(VLOOKUP(LARGE('[1]Top25SFRA'!$A$5:$C$259,18),'[1]Top25SFRA'!$A$5:$C$259,1,FALSE)/'[1]Top25SFRA'!$I$261*100)</f>
        <v>1.1438338154088876</v>
      </c>
      <c r="E20" s="10">
        <f>VLOOKUP(LARGE('[1]Top25SFRA'!$A$5:$A$259,18),'[1]Top25SFRA'!$A$5:$P$259,14,FALSE)</f>
        <v>2.6</v>
      </c>
      <c r="F20" s="11">
        <f>VLOOKUP(LARGE('[1]Top25SFRA'!$A$5:$A$259,18),'[1]Top25SFRA'!$A$5:$P$259,15,FALSE)</f>
        <v>13732.92</v>
      </c>
      <c r="G20" s="12">
        <f>VLOOKUP(LARGE('[1]Top25SFRA'!$A$5:$A$259,18),'[1]Top25SFRA'!$A$5:$P$259,10,FALSE)/VLOOKUP(LARGE('[1]Top25SFRA'!$A$5:$A$259,18),'[1]Top25SFRA'!$A$5:$P$259,13,FALSE)*100</f>
        <v>31.03448275862069</v>
      </c>
      <c r="H20" s="13">
        <f>VLOOKUP(LARGE('[1]Top25SFRA'!$A$5:$A$259,18),'[1]Top25SFRA'!$A$5:$P$259,11,FALSE)/VLOOKUP(LARGE('[1]Top25SFRA'!$A$5:$A$259,18),'[1]Top25SFRA'!$A$5:$P$259,13,FALSE)*100</f>
        <v>68.96551724137932</v>
      </c>
      <c r="I20" s="12">
        <f>VLOOKUP(LARGE('[1]Top25SFRA'!$A$5:$A$259,18),'[1]Top25SFRA'!$A$5:$P$259,4,FALSE)/VLOOKUP(LARGE('[1]Top25SFRA'!$A$5:$A$259,18),'[1]Top25SFRA'!$A$5:$P$259,9,FALSE)*100</f>
        <v>0</v>
      </c>
      <c r="J20" s="14">
        <f>VLOOKUP(LARGE('[1]Top25SFRA'!$A$5:$A$259,18),'[1]Top25SFRA'!$A$5:$P$259,5,FALSE)/VLOOKUP(LARGE('[1]Top25SFRA'!$A$5:$A$259,18),'[1]Top25SFRA'!$A$5:$P$259,9,FALSE)*100</f>
        <v>4.597701149425287</v>
      </c>
      <c r="K20" s="14">
        <f>VLOOKUP(LARGE('[1]Top25SFRA'!$A$5:$A$259,18),'[1]Top25SFRA'!$A$5:$P$259,6,FALSE)/VLOOKUP(LARGE('[1]Top25SFRA'!$A$5:$A$259,18),'[1]Top25SFRA'!$A$5:$P$259,9,FALSE)*100</f>
        <v>27.586206896551722</v>
      </c>
      <c r="L20" s="14">
        <f>VLOOKUP(LARGE('[1]Top25SFRA'!$A$5:$A$259,18),'[1]Top25SFRA'!$A$5:$P$259,7,FALSE)/VLOOKUP(LARGE('[1]Top25SFRA'!$A$5:$A$259,18),'[1]Top25SFRA'!$A$5:$P$259,9,FALSE)*100</f>
        <v>67.81609195402298</v>
      </c>
    </row>
    <row r="21" spans="1:12" ht="11.25">
      <c r="A21" s="8" t="str">
        <f>VLOOKUP(LARGE('[1]Top25SFRA'!$A$5:$C$259,19),'[1]Top25SFRA'!$A$5:$C$259,3,FALSE)</f>
        <v>CVA &amp; PRECEREBRAL OCCLUSION  W INFARCT                                            </v>
      </c>
      <c r="B21" s="9">
        <f>VLOOKUP(LARGE('[1]Top25SFRA'!$A$5:$C$259,19),'[1]Top25SFRA'!$A$5:$C$259,1,FALSE)</f>
        <v>86</v>
      </c>
      <c r="C21" s="10">
        <f>VLOOKUP(LARGE('[1]Top25SFRA'!$A$5:$C$259,19),'[1]Top25SFRA'!$A$5:$C$259,1,FALSE)/'[1]Top25SFRA'!$I$260*100</f>
        <v>2.006532897806813</v>
      </c>
      <c r="D21" s="10">
        <f>(VLOOKUP(LARGE('[1]Top25SFRA'!$A$5:$C$259,19),'[1]Top25SFRA'!$A$5:$C$259,1,FALSE)/'[1]Top25SFRA'!$I$261*100)</f>
        <v>1.1306863002892453</v>
      </c>
      <c r="E21" s="10">
        <f>VLOOKUP(LARGE('[1]Top25SFRA'!$A$5:$A$259,19),'[1]Top25SFRA'!$A$5:$P$259,14,FALSE)</f>
        <v>6.2</v>
      </c>
      <c r="F21" s="11">
        <f>VLOOKUP(LARGE('[1]Top25SFRA'!$A$5:$A$259,19),'[1]Top25SFRA'!$A$5:$P$259,15,FALSE)</f>
        <v>27923.18</v>
      </c>
      <c r="G21" s="12">
        <f>VLOOKUP(LARGE('[1]Top25SFRA'!$A$5:$A$259,19),'[1]Top25SFRA'!$A$5:$P$259,10,FALSE)/VLOOKUP(LARGE('[1]Top25SFRA'!$A$5:$A$259,19),'[1]Top25SFRA'!$A$5:$P$259,13,FALSE)*100</f>
        <v>38.372093023255815</v>
      </c>
      <c r="H21" s="13">
        <f>VLOOKUP(LARGE('[1]Top25SFRA'!$A$5:$A$259,19),'[1]Top25SFRA'!$A$5:$P$259,11,FALSE)/VLOOKUP(LARGE('[1]Top25SFRA'!$A$5:$A$259,19),'[1]Top25SFRA'!$A$5:$P$259,13,FALSE)*100</f>
        <v>61.627906976744185</v>
      </c>
      <c r="I21" s="12">
        <f>VLOOKUP(LARGE('[1]Top25SFRA'!$A$5:$A$259,19),'[1]Top25SFRA'!$A$5:$P$259,4,FALSE)/VLOOKUP(LARGE('[1]Top25SFRA'!$A$5:$A$259,19),'[1]Top25SFRA'!$A$5:$P$259,9,FALSE)*100</f>
        <v>0</v>
      </c>
      <c r="J21" s="14">
        <f>VLOOKUP(LARGE('[1]Top25SFRA'!$A$5:$A$259,19),'[1]Top25SFRA'!$A$5:$P$259,5,FALSE)/VLOOKUP(LARGE('[1]Top25SFRA'!$A$5:$A$259,19),'[1]Top25SFRA'!$A$5:$P$259,9,FALSE)*100</f>
        <v>4.651162790697675</v>
      </c>
      <c r="K21" s="14">
        <f>VLOOKUP(LARGE('[1]Top25SFRA'!$A$5:$A$259,19),'[1]Top25SFRA'!$A$5:$P$259,6,FALSE)/VLOOKUP(LARGE('[1]Top25SFRA'!$A$5:$A$259,19),'[1]Top25SFRA'!$A$5:$P$259,9,FALSE)*100</f>
        <v>29.069767441860467</v>
      </c>
      <c r="L21" s="14">
        <f>VLOOKUP(LARGE('[1]Top25SFRA'!$A$5:$A$259,19),'[1]Top25SFRA'!$A$5:$P$259,7,FALSE)/VLOOKUP(LARGE('[1]Top25SFRA'!$A$5:$A$259,19),'[1]Top25SFRA'!$A$5:$P$259,9,FALSE)*100</f>
        <v>66.27906976744185</v>
      </c>
    </row>
    <row r="22" spans="1:12" ht="11.25">
      <c r="A22" s="8" t="str">
        <f>VLOOKUP(LARGE('[1]Top25SFRA'!$A$5:$C$259,20),'[1]Top25SFRA'!$A$5:$C$259,3,FALSE)</f>
        <v>UTERINE &amp; ADNEXA PROCEDURES FOR LEIOMYOMA                                         </v>
      </c>
      <c r="B22" s="9">
        <f>VLOOKUP(LARGE('[1]Top25SFRA'!$A$5:$C$259,20),'[1]Top25SFRA'!$A$5:$C$259,1,FALSE)</f>
        <v>84.001</v>
      </c>
      <c r="C22" s="10">
        <f>VLOOKUP(LARGE('[1]Top25SFRA'!$A$5:$C$259,20),'[1]Top25SFRA'!$A$5:$C$259,1,FALSE)/'[1]Top25SFRA'!$I$260*100</f>
        <v>1.9598926738217453</v>
      </c>
      <c r="D22" s="10">
        <f>(VLOOKUP(LARGE('[1]Top25SFRA'!$A$5:$C$259,20),'[1]Top25SFRA'!$A$5:$C$259,1,FALSE)/'[1]Top25SFRA'!$I$261*100)</f>
        <v>1.1044044175650802</v>
      </c>
      <c r="E22" s="10">
        <f>VLOOKUP(LARGE('[1]Top25SFRA'!$A$5:$A$259,20),'[1]Top25SFRA'!$A$5:$P$259,14,FALSE)</f>
        <v>2.1</v>
      </c>
      <c r="F22" s="11">
        <f>VLOOKUP(LARGE('[1]Top25SFRA'!$A$5:$A$259,20),'[1]Top25SFRA'!$A$5:$P$259,15,FALSE)</f>
        <v>20574.2</v>
      </c>
      <c r="G22" s="12">
        <f>VLOOKUP(LARGE('[1]Top25SFRA'!$A$5:$A$259,20),'[1]Top25SFRA'!$A$5:$P$259,10,FALSE)/VLOOKUP(LARGE('[1]Top25SFRA'!$A$5:$A$259,20),'[1]Top25SFRA'!$A$5:$P$259,13,FALSE)*100</f>
        <v>0</v>
      </c>
      <c r="H22" s="13">
        <f>VLOOKUP(LARGE('[1]Top25SFRA'!$A$5:$A$259,20),'[1]Top25SFRA'!$A$5:$P$259,11,FALSE)/VLOOKUP(LARGE('[1]Top25SFRA'!$A$5:$A$259,20),'[1]Top25SFRA'!$A$5:$P$259,13,FALSE)*100</f>
        <v>100</v>
      </c>
      <c r="I22" s="12">
        <f>VLOOKUP(LARGE('[1]Top25SFRA'!$A$5:$A$259,20),'[1]Top25SFRA'!$A$5:$P$259,4,FALSE)/VLOOKUP(LARGE('[1]Top25SFRA'!$A$5:$A$259,20),'[1]Top25SFRA'!$A$5:$P$259,9,FALSE)*100</f>
        <v>0</v>
      </c>
      <c r="J22" s="14">
        <f>VLOOKUP(LARGE('[1]Top25SFRA'!$A$5:$A$259,20),'[1]Top25SFRA'!$A$5:$P$259,5,FALSE)/VLOOKUP(LARGE('[1]Top25SFRA'!$A$5:$A$259,20),'[1]Top25SFRA'!$A$5:$P$259,9,FALSE)*100</f>
        <v>42.857142857142854</v>
      </c>
      <c r="K22" s="14">
        <f>VLOOKUP(LARGE('[1]Top25SFRA'!$A$5:$A$259,20),'[1]Top25SFRA'!$A$5:$P$259,6,FALSE)/VLOOKUP(LARGE('[1]Top25SFRA'!$A$5:$A$259,20),'[1]Top25SFRA'!$A$5:$P$259,9,FALSE)*100</f>
        <v>55.952380952380956</v>
      </c>
      <c r="L22" s="14">
        <f>VLOOKUP(LARGE('[1]Top25SFRA'!$A$5:$A$259,20),'[1]Top25SFRA'!$A$5:$P$259,7,FALSE)/VLOOKUP(LARGE('[1]Top25SFRA'!$A$5:$A$259,20),'[1]Top25SFRA'!$A$5:$P$259,9,FALSE)*100</f>
        <v>1.1904761904761905</v>
      </c>
    </row>
    <row r="23" spans="1:12" ht="11.25">
      <c r="A23" s="8" t="str">
        <f>VLOOKUP(LARGE('[1]Top25SFRA'!$A$5:$C$259,21),'[1]Top25SFRA'!$A$5:$C$259,3,FALSE)</f>
        <v>UTERINE &amp; ADNEXA PROCEDURES FOR NON-MALIGNANCY EXCEPT LEIOMYOMA                   </v>
      </c>
      <c r="B23" s="9">
        <f>VLOOKUP(LARGE('[1]Top25SFRA'!$A$5:$C$259,21),'[1]Top25SFRA'!$A$5:$C$259,1,FALSE)</f>
        <v>84</v>
      </c>
      <c r="C23" s="10">
        <f>VLOOKUP(LARGE('[1]Top25SFRA'!$A$5:$C$259,21),'[1]Top25SFRA'!$A$5:$C$259,1,FALSE)/'[1]Top25SFRA'!$I$260*100</f>
        <v>1.959869342043864</v>
      </c>
      <c r="D23" s="10">
        <f>(VLOOKUP(LARGE('[1]Top25SFRA'!$A$5:$C$259,21),'[1]Top25SFRA'!$A$5:$C$259,1,FALSE)/'[1]Top25SFRA'!$I$261*100)</f>
        <v>1.1043912700499605</v>
      </c>
      <c r="E23" s="10">
        <f>VLOOKUP(LARGE('[1]Top25SFRA'!$A$5:$A$259,21),'[1]Top25SFRA'!$A$5:$P$259,14,FALSE)</f>
        <v>2</v>
      </c>
      <c r="F23" s="11">
        <f>VLOOKUP(LARGE('[1]Top25SFRA'!$A$5:$A$259,21),'[1]Top25SFRA'!$A$5:$P$259,15,FALSE)</f>
        <v>22367.55</v>
      </c>
      <c r="G23" s="12">
        <f>VLOOKUP(LARGE('[1]Top25SFRA'!$A$5:$A$259,21),'[1]Top25SFRA'!$A$5:$P$259,10,FALSE)/VLOOKUP(LARGE('[1]Top25SFRA'!$A$5:$A$259,21),'[1]Top25SFRA'!$A$5:$P$259,13,FALSE)*100</f>
        <v>0</v>
      </c>
      <c r="H23" s="13">
        <f>VLOOKUP(LARGE('[1]Top25SFRA'!$A$5:$A$259,21),'[1]Top25SFRA'!$A$5:$P$259,11,FALSE)/VLOOKUP(LARGE('[1]Top25SFRA'!$A$5:$A$259,21),'[1]Top25SFRA'!$A$5:$P$259,13,FALSE)*100</f>
        <v>100</v>
      </c>
      <c r="I23" s="12">
        <f>VLOOKUP(LARGE('[1]Top25SFRA'!$A$5:$A$259,21),'[1]Top25SFRA'!$A$5:$P$259,4,FALSE)/VLOOKUP(LARGE('[1]Top25SFRA'!$A$5:$A$259,21),'[1]Top25SFRA'!$A$5:$P$259,9,FALSE)*100</f>
        <v>1.1904761904761905</v>
      </c>
      <c r="J23" s="14">
        <f>VLOOKUP(LARGE('[1]Top25SFRA'!$A$5:$A$259,21),'[1]Top25SFRA'!$A$5:$P$259,5,FALSE)/VLOOKUP(LARGE('[1]Top25SFRA'!$A$5:$A$259,21),'[1]Top25SFRA'!$A$5:$P$259,9,FALSE)*100</f>
        <v>51.19047619047619</v>
      </c>
      <c r="K23" s="14">
        <f>VLOOKUP(LARGE('[1]Top25SFRA'!$A$5:$A$259,21),'[1]Top25SFRA'!$A$5:$P$259,6,FALSE)/VLOOKUP(LARGE('[1]Top25SFRA'!$A$5:$A$259,21),'[1]Top25SFRA'!$A$5:$P$259,9,FALSE)*100</f>
        <v>39.285714285714285</v>
      </c>
      <c r="L23" s="14">
        <f>VLOOKUP(LARGE('[1]Top25SFRA'!$A$5:$A$259,21),'[1]Top25SFRA'!$A$5:$P$259,7,FALSE)/VLOOKUP(LARGE('[1]Top25SFRA'!$A$5:$A$259,21),'[1]Top25SFRA'!$A$5:$P$259,9,FALSE)*100</f>
        <v>8.333333333333332</v>
      </c>
    </row>
    <row r="24" spans="1:12" ht="11.25">
      <c r="A24" s="8" t="str">
        <f>VLOOKUP(LARGE('[1]Top25SFRA'!$A$5:$C$259,22),'[1]Top25SFRA'!$A$5:$C$259,3,FALSE)</f>
        <v>OTHER DIGESTIVE SYSTEM DIAGNOSES                                                  </v>
      </c>
      <c r="B24" s="9">
        <f>VLOOKUP(LARGE('[1]Top25SFRA'!$A$5:$C$259,22),'[1]Top25SFRA'!$A$5:$C$259,1,FALSE)</f>
        <v>83</v>
      </c>
      <c r="C24" s="10">
        <f>VLOOKUP(LARGE('[1]Top25SFRA'!$A$5:$C$259,22),'[1]Top25SFRA'!$A$5:$C$259,1,FALSE)/'[1]Top25SFRA'!$I$260*100</f>
        <v>1.936537564162389</v>
      </c>
      <c r="D24" s="10">
        <f>(VLOOKUP(LARGE('[1]Top25SFRA'!$A$5:$C$259,22),'[1]Top25SFRA'!$A$5:$C$259,1,FALSE)/'[1]Top25SFRA'!$I$261*100)</f>
        <v>1.0912437549303182</v>
      </c>
      <c r="E24" s="10">
        <f>VLOOKUP(LARGE('[1]Top25SFRA'!$A$5:$A$259,22),'[1]Top25SFRA'!$A$5:$P$259,14,FALSE)</f>
        <v>3.6</v>
      </c>
      <c r="F24" s="11">
        <f>VLOOKUP(LARGE('[1]Top25SFRA'!$A$5:$A$259,22),'[1]Top25SFRA'!$A$5:$P$259,15,FALSE)</f>
        <v>16735.95</v>
      </c>
      <c r="G24" s="12">
        <f>VLOOKUP(LARGE('[1]Top25SFRA'!$A$5:$A$259,22),'[1]Top25SFRA'!$A$5:$P$259,10,FALSE)/VLOOKUP(LARGE('[1]Top25SFRA'!$A$5:$A$259,22),'[1]Top25SFRA'!$A$5:$P$259,13,FALSE)*100</f>
        <v>40.963855421686745</v>
      </c>
      <c r="H24" s="13">
        <f>VLOOKUP(LARGE('[1]Top25SFRA'!$A$5:$A$259,22),'[1]Top25SFRA'!$A$5:$P$259,11,FALSE)/VLOOKUP(LARGE('[1]Top25SFRA'!$A$5:$A$259,22),'[1]Top25SFRA'!$A$5:$P$259,13,FALSE)*100</f>
        <v>59.036144578313255</v>
      </c>
      <c r="I24" s="12">
        <f>VLOOKUP(LARGE('[1]Top25SFRA'!$A$5:$A$259,22),'[1]Top25SFRA'!$A$5:$P$259,4,FALSE)/VLOOKUP(LARGE('[1]Top25SFRA'!$A$5:$A$259,22),'[1]Top25SFRA'!$A$5:$P$259,9,FALSE)*100</f>
        <v>0</v>
      </c>
      <c r="J24" s="14">
        <f>VLOOKUP(LARGE('[1]Top25SFRA'!$A$5:$A$259,22),'[1]Top25SFRA'!$A$5:$P$259,5,FALSE)/VLOOKUP(LARGE('[1]Top25SFRA'!$A$5:$A$259,22),'[1]Top25SFRA'!$A$5:$P$259,9,FALSE)*100</f>
        <v>18.072289156626507</v>
      </c>
      <c r="K24" s="14">
        <f>VLOOKUP(LARGE('[1]Top25SFRA'!$A$5:$A$259,22),'[1]Top25SFRA'!$A$5:$P$259,6,FALSE)/VLOOKUP(LARGE('[1]Top25SFRA'!$A$5:$A$259,22),'[1]Top25SFRA'!$A$5:$P$259,9,FALSE)*100</f>
        <v>28.915662650602407</v>
      </c>
      <c r="L24" s="14">
        <f>VLOOKUP(LARGE('[1]Top25SFRA'!$A$5:$A$259,22),'[1]Top25SFRA'!$A$5:$P$259,7,FALSE)/VLOOKUP(LARGE('[1]Top25SFRA'!$A$5:$A$259,22),'[1]Top25SFRA'!$A$5:$P$259,9,FALSE)*100</f>
        <v>53.01204819277109</v>
      </c>
    </row>
    <row r="25" spans="1:12" ht="11.25">
      <c r="A25" s="8" t="str">
        <f>VLOOKUP(LARGE('[1]Top25SFRA'!$A$5:$C$259,23),'[1]Top25SFRA'!$A$5:$C$259,3,FALSE)</f>
        <v>DIVERTICULITIS &amp; DIVERTICULOSIS                                                   </v>
      </c>
      <c r="B25" s="9">
        <f>VLOOKUP(LARGE('[1]Top25SFRA'!$A$5:$C$259,23),'[1]Top25SFRA'!$A$5:$C$259,1,FALSE)</f>
        <v>79</v>
      </c>
      <c r="C25" s="10">
        <f>VLOOKUP(LARGE('[1]Top25SFRA'!$A$5:$C$259,23),'[1]Top25SFRA'!$A$5:$C$259,1,FALSE)/'[1]Top25SFRA'!$I$260*100</f>
        <v>1.8432104526364907</v>
      </c>
      <c r="D25" s="10">
        <f>(VLOOKUP(LARGE('[1]Top25SFRA'!$A$5:$C$259,23),'[1]Top25SFRA'!$A$5:$C$259,1,FALSE)/'[1]Top25SFRA'!$I$261*100)</f>
        <v>1.0386536944517486</v>
      </c>
      <c r="E25" s="10">
        <f>VLOOKUP(LARGE('[1]Top25SFRA'!$A$5:$A$259,23),'[1]Top25SFRA'!$A$5:$P$259,14,FALSE)</f>
        <v>3.7</v>
      </c>
      <c r="F25" s="11">
        <f>VLOOKUP(LARGE('[1]Top25SFRA'!$A$5:$A$259,23),'[1]Top25SFRA'!$A$5:$P$259,15,FALSE)</f>
        <v>19090.41</v>
      </c>
      <c r="G25" s="12">
        <f>VLOOKUP(LARGE('[1]Top25SFRA'!$A$5:$A$259,23),'[1]Top25SFRA'!$A$5:$P$259,10,FALSE)/VLOOKUP(LARGE('[1]Top25SFRA'!$A$5:$A$259,23),'[1]Top25SFRA'!$A$5:$P$259,13,FALSE)*100</f>
        <v>46.835443037974684</v>
      </c>
      <c r="H25" s="13">
        <f>VLOOKUP(LARGE('[1]Top25SFRA'!$A$5:$A$259,23),'[1]Top25SFRA'!$A$5:$P$259,11,FALSE)/VLOOKUP(LARGE('[1]Top25SFRA'!$A$5:$A$259,23),'[1]Top25SFRA'!$A$5:$P$259,13,FALSE)*100</f>
        <v>53.16455696202531</v>
      </c>
      <c r="I25" s="12">
        <f>VLOOKUP(LARGE('[1]Top25SFRA'!$A$5:$A$259,23),'[1]Top25SFRA'!$A$5:$P$259,4,FALSE)/VLOOKUP(LARGE('[1]Top25SFRA'!$A$5:$A$259,23),'[1]Top25SFRA'!$A$5:$P$259,9,FALSE)*100</f>
        <v>0</v>
      </c>
      <c r="J25" s="14">
        <f>VLOOKUP(LARGE('[1]Top25SFRA'!$A$5:$A$259,23),'[1]Top25SFRA'!$A$5:$P$259,5,FALSE)/VLOOKUP(LARGE('[1]Top25SFRA'!$A$5:$A$259,23),'[1]Top25SFRA'!$A$5:$P$259,9,FALSE)*100</f>
        <v>10.126582278481013</v>
      </c>
      <c r="K25" s="14">
        <f>VLOOKUP(LARGE('[1]Top25SFRA'!$A$5:$A$259,23),'[1]Top25SFRA'!$A$5:$P$259,6,FALSE)/VLOOKUP(LARGE('[1]Top25SFRA'!$A$5:$A$259,23),'[1]Top25SFRA'!$A$5:$P$259,9,FALSE)*100</f>
        <v>30.37974683544304</v>
      </c>
      <c r="L25" s="14">
        <f>VLOOKUP(LARGE('[1]Top25SFRA'!$A$5:$A$259,23),'[1]Top25SFRA'!$A$5:$P$259,7,FALSE)/VLOOKUP(LARGE('[1]Top25SFRA'!$A$5:$A$259,23),'[1]Top25SFRA'!$A$5:$P$259,9,FALSE)*100</f>
        <v>59.49367088607595</v>
      </c>
    </row>
    <row r="26" spans="1:12" ht="11.25">
      <c r="A26" s="8" t="str">
        <f>VLOOKUP(LARGE('[1]Top25SFRA'!$A$5:$C$259,24),'[1]Top25SFRA'!$A$5:$C$259,3,FALSE)</f>
        <v>PERCUTANEOUS CARDIOVASCULAR PROCEDURES W AMI                                      </v>
      </c>
      <c r="B26" s="9">
        <f>VLOOKUP(LARGE('[1]Top25SFRA'!$A$5:$C$259,24),'[1]Top25SFRA'!$A$5:$C$259,1,FALSE)</f>
        <v>78</v>
      </c>
      <c r="C26" s="10">
        <f>VLOOKUP(LARGE('[1]Top25SFRA'!$A$5:$C$259,24),'[1]Top25SFRA'!$A$5:$C$259,1,FALSE)/'[1]Top25SFRA'!$I$260*100</f>
        <v>1.8198786747550162</v>
      </c>
      <c r="D26" s="10">
        <f>(VLOOKUP(LARGE('[1]Top25SFRA'!$A$5:$C$259,24),'[1]Top25SFRA'!$A$5:$C$259,1,FALSE)/'[1]Top25SFRA'!$I$261*100)</f>
        <v>1.0255061793321063</v>
      </c>
      <c r="E26" s="10">
        <f>VLOOKUP(LARGE('[1]Top25SFRA'!$A$5:$A$259,24),'[1]Top25SFRA'!$A$5:$P$259,14,FALSE)</f>
        <v>4</v>
      </c>
      <c r="F26" s="11">
        <f>VLOOKUP(LARGE('[1]Top25SFRA'!$A$5:$A$259,24),'[1]Top25SFRA'!$A$5:$P$259,15,FALSE)</f>
        <v>63287.87</v>
      </c>
      <c r="G26" s="12">
        <f>VLOOKUP(LARGE('[1]Top25SFRA'!$A$5:$A$259,24),'[1]Top25SFRA'!$A$5:$P$259,10,FALSE)/VLOOKUP(LARGE('[1]Top25SFRA'!$A$5:$A$259,24),'[1]Top25SFRA'!$A$5:$P$259,13,FALSE)*100</f>
        <v>57.692307692307686</v>
      </c>
      <c r="H26" s="13">
        <f>VLOOKUP(LARGE('[1]Top25SFRA'!$A$5:$A$259,24),'[1]Top25SFRA'!$A$5:$P$259,11,FALSE)/VLOOKUP(LARGE('[1]Top25SFRA'!$A$5:$A$259,24),'[1]Top25SFRA'!$A$5:$P$259,13,FALSE)*100</f>
        <v>42.30769230769231</v>
      </c>
      <c r="I26" s="12">
        <f>VLOOKUP(LARGE('[1]Top25SFRA'!$A$5:$A$259,24),'[1]Top25SFRA'!$A$5:$P$259,4,FALSE)/VLOOKUP(LARGE('[1]Top25SFRA'!$A$5:$A$259,24),'[1]Top25SFRA'!$A$5:$P$259,9,FALSE)*100</f>
        <v>0</v>
      </c>
      <c r="J26" s="14">
        <f>VLOOKUP(LARGE('[1]Top25SFRA'!$A$5:$A$259,24),'[1]Top25SFRA'!$A$5:$P$259,5,FALSE)/VLOOKUP(LARGE('[1]Top25SFRA'!$A$5:$A$259,24),'[1]Top25SFRA'!$A$5:$P$259,9,FALSE)*100</f>
        <v>2.564102564102564</v>
      </c>
      <c r="K26" s="14">
        <f>VLOOKUP(LARGE('[1]Top25SFRA'!$A$5:$A$259,24),'[1]Top25SFRA'!$A$5:$P$259,6,FALSE)/VLOOKUP(LARGE('[1]Top25SFRA'!$A$5:$A$259,24),'[1]Top25SFRA'!$A$5:$P$259,9,FALSE)*100</f>
        <v>58.97435897435898</v>
      </c>
      <c r="L26" s="14">
        <f>VLOOKUP(LARGE('[1]Top25SFRA'!$A$5:$A$259,24),'[1]Top25SFRA'!$A$5:$P$259,7,FALSE)/VLOOKUP(LARGE('[1]Top25SFRA'!$A$5:$A$259,24),'[1]Top25SFRA'!$A$5:$P$259,9,FALSE)*100</f>
        <v>38.46153846153847</v>
      </c>
    </row>
    <row r="27" spans="1:12" ht="12" thickBot="1">
      <c r="A27" s="15" t="str">
        <f>VLOOKUP(LARGE('[1]Top25SFRA'!$A$5:$C$259,25),'[1]Top25SFRA'!$A$5:$C$259,3,FALSE)</f>
        <v>ANGINA PECTORIS &amp; CORONARY ATHEROSCLEROSIS                                        </v>
      </c>
      <c r="B27" s="16">
        <f>VLOOKUP(LARGE('[1]Top25SFRA'!$A$5:$C$259,25),'[1]Top25SFRA'!$A$5:$C$259,1,FALSE)</f>
        <v>74</v>
      </c>
      <c r="C27" s="17">
        <f>VLOOKUP(LARGE('[1]Top25SFRA'!$A$5:$C$259,25),'[1]Top25SFRA'!$A$5:$C$259,1,FALSE)/'[1]Top25SFRA'!$I$260*100</f>
        <v>1.726551563229118</v>
      </c>
      <c r="D27" s="17">
        <f>(VLOOKUP(LARGE('[1]Top25SFRA'!$A$5:$C$259,25),'[1]Top25SFRA'!$A$5:$C$259,1,FALSE)/'[1]Top25SFRA'!$I$261*100)</f>
        <v>0.9729161188535366</v>
      </c>
      <c r="E27" s="17">
        <f>VLOOKUP(LARGE('[1]Top25SFRA'!$A$5:$A$259,25),'[1]Top25SFRA'!$A$5:$P$259,14,FALSE)</f>
        <v>2.1</v>
      </c>
      <c r="F27" s="18">
        <f>VLOOKUP(LARGE('[1]Top25SFRA'!$A$5:$A$259,25),'[1]Top25SFRA'!$A$5:$P$259,15,FALSE)</f>
        <v>13736.97</v>
      </c>
      <c r="G27" s="19">
        <f>VLOOKUP(LARGE('[1]Top25SFRA'!$A$5:$A$259,25),'[1]Top25SFRA'!$A$5:$P$259,10,FALSE)/VLOOKUP(LARGE('[1]Top25SFRA'!$A$5:$A$259,25),'[1]Top25SFRA'!$A$5:$P$259,13,FALSE)*100</f>
        <v>47.2972972972973</v>
      </c>
      <c r="H27" s="20">
        <f>VLOOKUP(LARGE('[1]Top25SFRA'!$A$5:$A$259,25),'[1]Top25SFRA'!$A$5:$P$259,11,FALSE)/VLOOKUP(LARGE('[1]Top25SFRA'!$A$5:$A$259,25),'[1]Top25SFRA'!$A$5:$P$259,13,FALSE)*100</f>
        <v>52.702702702702695</v>
      </c>
      <c r="I27" s="19">
        <f>VLOOKUP(LARGE('[1]Top25SFRA'!$A$5:$A$259,25),'[1]Top25SFRA'!$A$5:$P$259,4,FALSE)/VLOOKUP(LARGE('[1]Top25SFRA'!$A$5:$A$259,25),'[1]Top25SFRA'!$A$5:$P$259,9,FALSE)*100</f>
        <v>0</v>
      </c>
      <c r="J27" s="21">
        <f>VLOOKUP(LARGE('[1]Top25SFRA'!$A$5:$A$259,25),'[1]Top25SFRA'!$A$5:$P$259,5,FALSE)/VLOOKUP(LARGE('[1]Top25SFRA'!$A$5:$A$259,25),'[1]Top25SFRA'!$A$5:$P$259,9,FALSE)*100</f>
        <v>6.756756756756757</v>
      </c>
      <c r="K27" s="21">
        <f>VLOOKUP(LARGE('[1]Top25SFRA'!$A$5:$A$259,25),'[1]Top25SFRA'!$A$5:$P$259,6,FALSE)/VLOOKUP(LARGE('[1]Top25SFRA'!$A$5:$A$259,25),'[1]Top25SFRA'!$A$5:$P$259,9,FALSE)*100</f>
        <v>41.891891891891895</v>
      </c>
      <c r="L27" s="21">
        <f>VLOOKUP(LARGE('[1]Top25SFRA'!$A$5:$A$259,25),'[1]Top25SFRA'!$A$5:$P$259,7,FALSE)/VLOOKUP(LARGE('[1]Top25SFRA'!$A$5:$A$259,25),'[1]Top25SFRA'!$A$5:$P$259,9,FALSE)*100</f>
        <v>51.35135135135135</v>
      </c>
    </row>
    <row r="28" spans="3:10" ht="11.25">
      <c r="C28" s="22"/>
      <c r="D28" s="22"/>
      <c r="E28" s="22"/>
      <c r="F28" s="23"/>
      <c r="G28" s="22"/>
      <c r="H28" s="22"/>
      <c r="I28" s="22"/>
      <c r="J28" s="22"/>
    </row>
    <row r="32" spans="1:12" ht="11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1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1.25">
      <c r="A35" s="8"/>
      <c r="B35" s="8"/>
      <c r="C35" s="14"/>
      <c r="D35" s="14"/>
      <c r="E35" s="14"/>
      <c r="F35" s="27"/>
      <c r="G35" s="14"/>
      <c r="H35" s="14"/>
      <c r="I35" s="14"/>
      <c r="J35" s="14"/>
      <c r="K35" s="14"/>
      <c r="L35" s="14"/>
    </row>
    <row r="36" spans="1:12" ht="11.25">
      <c r="A36" s="8"/>
      <c r="B36" s="8"/>
      <c r="C36" s="14"/>
      <c r="D36" s="14"/>
      <c r="E36" s="14"/>
      <c r="F36" s="27"/>
      <c r="G36" s="14"/>
      <c r="H36" s="14"/>
      <c r="I36" s="14"/>
      <c r="J36" s="14"/>
      <c r="K36" s="14"/>
      <c r="L36" s="14"/>
    </row>
    <row r="37" spans="1:12" ht="11.25">
      <c r="A37" s="8"/>
      <c r="B37" s="8"/>
      <c r="C37" s="14"/>
      <c r="D37" s="14"/>
      <c r="E37" s="14"/>
      <c r="F37" s="27"/>
      <c r="G37" s="14"/>
      <c r="H37" s="14"/>
      <c r="I37" s="14"/>
      <c r="J37" s="14"/>
      <c r="K37" s="14"/>
      <c r="L37" s="14"/>
    </row>
    <row r="38" spans="1:12" ht="11.25">
      <c r="A38" s="8"/>
      <c r="B38" s="8"/>
      <c r="C38" s="14"/>
      <c r="D38" s="14"/>
      <c r="E38" s="14"/>
      <c r="F38" s="27"/>
      <c r="G38" s="14"/>
      <c r="H38" s="14"/>
      <c r="I38" s="14"/>
      <c r="J38" s="14"/>
      <c r="K38" s="14"/>
      <c r="L38" s="14"/>
    </row>
    <row r="39" spans="1:12" ht="11.25">
      <c r="A39" s="8"/>
      <c r="B39" s="8"/>
      <c r="C39" s="14"/>
      <c r="D39" s="14"/>
      <c r="E39" s="14"/>
      <c r="F39" s="27"/>
      <c r="G39" s="14"/>
      <c r="H39" s="14"/>
      <c r="I39" s="14"/>
      <c r="J39" s="14"/>
      <c r="K39" s="14"/>
      <c r="L39" s="14"/>
    </row>
    <row r="40" spans="1:12" ht="11.25">
      <c r="A40" s="8"/>
      <c r="B40" s="8"/>
      <c r="C40" s="14"/>
      <c r="D40" s="14"/>
      <c r="E40" s="14"/>
      <c r="F40" s="27"/>
      <c r="G40" s="14"/>
      <c r="H40" s="14"/>
      <c r="I40" s="14"/>
      <c r="J40" s="14"/>
      <c r="K40" s="14"/>
      <c r="L40" s="14"/>
    </row>
    <row r="41" spans="1:12" ht="11.25">
      <c r="A41" s="8"/>
      <c r="B41" s="8"/>
      <c r="C41" s="14"/>
      <c r="D41" s="14"/>
      <c r="E41" s="14"/>
      <c r="F41" s="27"/>
      <c r="G41" s="14"/>
      <c r="H41" s="14"/>
      <c r="I41" s="14"/>
      <c r="J41" s="14"/>
      <c r="K41" s="14"/>
      <c r="L41" s="14"/>
    </row>
    <row r="42" spans="1:12" ht="11.25">
      <c r="A42" s="8"/>
      <c r="B42" s="8"/>
      <c r="C42" s="14"/>
      <c r="D42" s="14"/>
      <c r="E42" s="14"/>
      <c r="F42" s="27"/>
      <c r="G42" s="14"/>
      <c r="H42" s="14"/>
      <c r="I42" s="14"/>
      <c r="J42" s="14"/>
      <c r="K42" s="14"/>
      <c r="L42" s="14"/>
    </row>
    <row r="43" spans="1:12" ht="11.25">
      <c r="A43" s="8"/>
      <c r="B43" s="8"/>
      <c r="C43" s="14"/>
      <c r="D43" s="14"/>
      <c r="E43" s="14"/>
      <c r="F43" s="27"/>
      <c r="G43" s="14"/>
      <c r="H43" s="14"/>
      <c r="I43" s="14"/>
      <c r="J43" s="14"/>
      <c r="K43" s="14"/>
      <c r="L43" s="14"/>
    </row>
    <row r="44" spans="1:12" ht="11.25">
      <c r="A44" s="8"/>
      <c r="B44" s="8"/>
      <c r="C44" s="14"/>
      <c r="D44" s="14"/>
      <c r="E44" s="14"/>
      <c r="F44" s="27"/>
      <c r="G44" s="14"/>
      <c r="H44" s="14"/>
      <c r="I44" s="14"/>
      <c r="J44" s="14"/>
      <c r="K44" s="14"/>
      <c r="L44" s="14"/>
    </row>
    <row r="45" spans="1:12" ht="11.25">
      <c r="A45" s="8"/>
      <c r="B45" s="8"/>
      <c r="C45" s="14"/>
      <c r="D45" s="14"/>
      <c r="E45" s="14"/>
      <c r="F45" s="27"/>
      <c r="G45" s="14"/>
      <c r="H45" s="14"/>
      <c r="I45" s="14"/>
      <c r="J45" s="14"/>
      <c r="K45" s="14"/>
      <c r="L45" s="14"/>
    </row>
    <row r="46" spans="1:12" ht="11.25">
      <c r="A46" s="8"/>
      <c r="B46" s="8"/>
      <c r="C46" s="14"/>
      <c r="D46" s="14"/>
      <c r="E46" s="14"/>
      <c r="F46" s="27"/>
      <c r="G46" s="14"/>
      <c r="H46" s="14"/>
      <c r="I46" s="14"/>
      <c r="J46" s="14"/>
      <c r="K46" s="14"/>
      <c r="L46" s="14"/>
    </row>
    <row r="47" spans="1:12" ht="11.25">
      <c r="A47" s="8"/>
      <c r="B47" s="8"/>
      <c r="C47" s="14"/>
      <c r="D47" s="14"/>
      <c r="E47" s="14"/>
      <c r="F47" s="27"/>
      <c r="G47" s="14"/>
      <c r="H47" s="14"/>
      <c r="I47" s="14"/>
      <c r="J47" s="14"/>
      <c r="K47" s="14"/>
      <c r="L47" s="14"/>
    </row>
    <row r="48" spans="1:12" ht="11.25">
      <c r="A48" s="8"/>
      <c r="B48" s="8"/>
      <c r="C48" s="14"/>
      <c r="D48" s="14"/>
      <c r="E48" s="14"/>
      <c r="F48" s="27"/>
      <c r="G48" s="14"/>
      <c r="H48" s="14"/>
      <c r="I48" s="14"/>
      <c r="J48" s="14"/>
      <c r="K48" s="14"/>
      <c r="L48" s="14"/>
    </row>
    <row r="49" spans="1:12" ht="11.25">
      <c r="A49" s="8"/>
      <c r="B49" s="8"/>
      <c r="C49" s="14"/>
      <c r="D49" s="14"/>
      <c r="E49" s="14"/>
      <c r="F49" s="27"/>
      <c r="G49" s="14"/>
      <c r="H49" s="14"/>
      <c r="I49" s="14"/>
      <c r="J49" s="14"/>
      <c r="K49" s="14"/>
      <c r="L49" s="14"/>
    </row>
    <row r="50" spans="1:12" ht="11.25">
      <c r="A50" s="8"/>
      <c r="B50" s="8"/>
      <c r="C50" s="14"/>
      <c r="D50" s="14"/>
      <c r="E50" s="14"/>
      <c r="F50" s="27"/>
      <c r="G50" s="14"/>
      <c r="H50" s="14"/>
      <c r="I50" s="14"/>
      <c r="J50" s="14"/>
      <c r="K50" s="14"/>
      <c r="L50" s="14"/>
    </row>
    <row r="51" spans="1:12" ht="11.25">
      <c r="A51" s="8"/>
      <c r="B51" s="8"/>
      <c r="C51" s="14"/>
      <c r="D51" s="14"/>
      <c r="E51" s="14"/>
      <c r="F51" s="27"/>
      <c r="G51" s="14"/>
      <c r="H51" s="14"/>
      <c r="I51" s="14"/>
      <c r="J51" s="14"/>
      <c r="K51" s="14"/>
      <c r="L51" s="14"/>
    </row>
    <row r="52" spans="1:12" ht="11.25">
      <c r="A52" s="8"/>
      <c r="B52" s="8"/>
      <c r="C52" s="14"/>
      <c r="D52" s="14"/>
      <c r="E52" s="14"/>
      <c r="F52" s="27"/>
      <c r="G52" s="14"/>
      <c r="H52" s="14"/>
      <c r="I52" s="14"/>
      <c r="J52" s="14"/>
      <c r="K52" s="14"/>
      <c r="L52" s="14"/>
    </row>
    <row r="53" spans="1:12" ht="11.25">
      <c r="A53" s="8"/>
      <c r="B53" s="8"/>
      <c r="C53" s="14"/>
      <c r="D53" s="14"/>
      <c r="E53" s="14"/>
      <c r="F53" s="27"/>
      <c r="G53" s="14"/>
      <c r="H53" s="14"/>
      <c r="I53" s="14"/>
      <c r="J53" s="14"/>
      <c r="K53" s="14"/>
      <c r="L53" s="14"/>
    </row>
    <row r="54" spans="1:12" ht="11.25">
      <c r="A54" s="8"/>
      <c r="B54" s="8"/>
      <c r="C54" s="14"/>
      <c r="D54" s="14"/>
      <c r="E54" s="14"/>
      <c r="F54" s="27"/>
      <c r="G54" s="14"/>
      <c r="H54" s="14"/>
      <c r="I54" s="14"/>
      <c r="J54" s="14"/>
      <c r="K54" s="14"/>
      <c r="L54" s="14"/>
    </row>
    <row r="55" spans="1:12" ht="11.25">
      <c r="A55" s="8"/>
      <c r="B55" s="8"/>
      <c r="C55" s="14"/>
      <c r="D55" s="14"/>
      <c r="E55" s="14"/>
      <c r="F55" s="27"/>
      <c r="G55" s="14"/>
      <c r="H55" s="14"/>
      <c r="I55" s="14"/>
      <c r="J55" s="14"/>
      <c r="K55" s="14"/>
      <c r="L55" s="14"/>
    </row>
    <row r="56" spans="1:12" ht="11.25">
      <c r="A56" s="8"/>
      <c r="B56" s="8"/>
      <c r="C56" s="14"/>
      <c r="D56" s="14"/>
      <c r="E56" s="14"/>
      <c r="F56" s="27"/>
      <c r="G56" s="14"/>
      <c r="H56" s="14"/>
      <c r="I56" s="14"/>
      <c r="J56" s="14"/>
      <c r="K56" s="14"/>
      <c r="L56" s="14"/>
    </row>
    <row r="57" spans="1:12" ht="11.25">
      <c r="A57" s="8"/>
      <c r="B57" s="8"/>
      <c r="C57" s="14"/>
      <c r="D57" s="14"/>
      <c r="E57" s="14"/>
      <c r="F57" s="27"/>
      <c r="G57" s="14"/>
      <c r="H57" s="14"/>
      <c r="I57" s="14"/>
      <c r="J57" s="14"/>
      <c r="K57" s="14"/>
      <c r="L57" s="14"/>
    </row>
    <row r="58" spans="1:12" ht="11.25">
      <c r="A58" s="8"/>
      <c r="B58" s="8"/>
      <c r="C58" s="14"/>
      <c r="D58" s="14"/>
      <c r="E58" s="14"/>
      <c r="F58" s="27"/>
      <c r="G58" s="14"/>
      <c r="H58" s="14"/>
      <c r="I58" s="14"/>
      <c r="J58" s="14"/>
      <c r="K58" s="14"/>
      <c r="L58" s="14"/>
    </row>
    <row r="59" spans="1:12" ht="11.25">
      <c r="A59" s="8"/>
      <c r="B59" s="8"/>
      <c r="C59" s="14"/>
      <c r="D59" s="14"/>
      <c r="E59" s="14"/>
      <c r="F59" s="27"/>
      <c r="G59" s="14"/>
      <c r="H59" s="14"/>
      <c r="I59" s="14"/>
      <c r="J59" s="14"/>
      <c r="K59" s="14"/>
      <c r="L59" s="1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77.66015625" style="0" customWidth="1"/>
    <col min="2" max="2" width="6.16015625" style="0" customWidth="1"/>
    <col min="3" max="3" width="11" style="0" bestFit="1" customWidth="1"/>
    <col min="4" max="4" width="7.5" style="0" bestFit="1" customWidth="1"/>
    <col min="5" max="5" width="6" style="0" bestFit="1" customWidth="1"/>
    <col min="6" max="6" width="11.83203125" style="0" bestFit="1" customWidth="1"/>
    <col min="7" max="7" width="9.16015625" style="0" customWidth="1"/>
    <col min="8" max="8" width="9" style="0" bestFit="1" customWidth="1"/>
    <col min="9" max="12" width="6.83203125" style="0" customWidth="1"/>
  </cols>
  <sheetData>
    <row r="1" spans="1:12" ht="13.5" thickBot="1">
      <c r="A1" s="1" t="s">
        <v>16</v>
      </c>
      <c r="G1" s="29"/>
      <c r="H1" s="29"/>
      <c r="I1" s="29"/>
      <c r="J1" s="29"/>
      <c r="K1" s="29"/>
      <c r="L1" s="29"/>
    </row>
    <row r="2" spans="1:13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4" t="s">
        <v>8</v>
      </c>
      <c r="J2" s="6" t="s">
        <v>9</v>
      </c>
      <c r="K2" s="6" t="s">
        <v>10</v>
      </c>
      <c r="L2" s="6" t="s">
        <v>11</v>
      </c>
      <c r="M2" s="7"/>
    </row>
    <row r="3" spans="1:12" ht="11.25">
      <c r="A3" s="8" t="str">
        <f>VLOOKUP(LARGE('[1]Top25NANT'!$A$5:$C$226,1),'[1]Top25NANT'!$A$5:$C$226,3,FALSE)</f>
        <v>NEONATE BIRTHWT &gt;2499G, NORMAL NEWBORN OR NEONATE W OTHER PROBLEM                 </v>
      </c>
      <c r="B3" s="9">
        <f>VLOOKUP(LARGE('[1]Top25NANT'!$A$5:$C$226,1),'[1]Top25NANT'!$A$5:$C$226,1,FALSE)</f>
        <v>789</v>
      </c>
      <c r="C3" s="10">
        <f>VLOOKUP(LARGE('[1]Top25NANT'!$A$5:$C$226,1),'[1]Top25NANT'!$A$5:$C$226,1,FALSE)/'[1]Top25NANT'!$I$227*100</f>
        <v>21.079348116484102</v>
      </c>
      <c r="D3" s="10">
        <f>(VLOOKUP(LARGE('[1]Top25NANT'!$A$5:$C$226,1),'[1]Top25NANT'!$A$5:$C$226,1,FALSE)/'[1]Top25NANT'!$I$228*100)</f>
        <v>13.82997370727432</v>
      </c>
      <c r="E3" s="10">
        <f>VLOOKUP(LARGE('[1]Top25NANT'!$A$5:$A$226,1),'[1]Top25NANT'!$A$5:$P$226,14,FALSE)</f>
        <v>1.9</v>
      </c>
      <c r="F3" s="11">
        <f>VLOOKUP(LARGE('[1]Top25NANT'!$A$5:$A$226,1),'[1]Top25NANT'!$A$5:$P$226,15,FALSE)</f>
        <v>2202.31</v>
      </c>
      <c r="G3" s="12">
        <f>VLOOKUP(LARGE('[1]Top25NANT'!$A$5:$A$226,1),'[1]Top25NANT'!$A$5:$P$226,10,FALSE)/VLOOKUP(LARGE('[1]Top25NANT'!$A$5:$A$226,1),'[1]Top25NANT'!$A$5:$P$226,13,FALSE)*100</f>
        <v>53.865652724968314</v>
      </c>
      <c r="H3" s="13">
        <f>VLOOKUP(LARGE('[1]Top25NANT'!$A$5:$A$226,1),'[1]Top25NANT'!$A$5:$P$226,11,FALSE)/VLOOKUP(LARGE('[1]Top25NANT'!$A$5:$A$226,1),'[1]Top25NANT'!$A$5:$P$226,13,FALSE)*100</f>
        <v>46.134347275031686</v>
      </c>
      <c r="I3" s="12">
        <f>VLOOKUP(LARGE('[1]Top25NANT'!$A$5:$A$226,1),'[1]Top25NANT'!$A$5:$P$226,4,FALSE)/VLOOKUP(LARGE('[1]Top25NANT'!$A$5:$A$226,1),'[1]Top25NANT'!$A$5:$P$226,9,FALSE)*100</f>
        <v>100</v>
      </c>
      <c r="J3" s="14">
        <f>VLOOKUP(LARGE('[1]Top25NANT'!$A$5:$A$226,1),'[1]Top25NANT'!$A$5:$P$226,5,FALSE)/VLOOKUP(LARGE('[1]Top25NANT'!$A$5:$A$226,1),'[1]Top25NANT'!$A$5:$P$226,9,FALSE)*100</f>
        <v>0</v>
      </c>
      <c r="K3" s="14">
        <f>VLOOKUP(LARGE('[1]Top25NANT'!$A$5:$A$226,1),'[1]Top25NANT'!$A$5:$P$226,6,FALSE)/VLOOKUP(LARGE('[1]Top25NANT'!$A$5:$A$226,1),'[1]Top25NANT'!$A$5:$P$226,9,FALSE)*100</f>
        <v>0</v>
      </c>
      <c r="L3" s="14">
        <f>VLOOKUP(LARGE('[1]Top25NANT'!$A$5:$A$226,1),'[1]Top25NANT'!$A$5:$P$226,7,FALSE)/VLOOKUP(LARGE('[1]Top25NANT'!$A$5:$A$226,1),'[1]Top25NANT'!$A$5:$P$226,9,FALSE)*100</f>
        <v>0</v>
      </c>
    </row>
    <row r="4" spans="1:12" ht="11.25">
      <c r="A4" s="8" t="str">
        <f>VLOOKUP(LARGE('[1]Top25NANT'!$A$5:$C$226,2),'[1]Top25NANT'!$A$5:$C$226,3,FALSE)</f>
        <v>VAGINAL DELIVERY                                                                  </v>
      </c>
      <c r="B4" s="9">
        <f>VLOOKUP(LARGE('[1]Top25NANT'!$A$5:$C$226,2),'[1]Top25NANT'!$A$5:$C$226,1,FALSE)</f>
        <v>628</v>
      </c>
      <c r="C4" s="10">
        <f>VLOOKUP(LARGE('[1]Top25NANT'!$A$5:$C$226,2),'[1]Top25NANT'!$A$5:$C$226,1,FALSE)/'[1]Top25NANT'!$I$227*100</f>
        <v>16.77798557306973</v>
      </c>
      <c r="D4" s="10">
        <f>(VLOOKUP(LARGE('[1]Top25NANT'!$A$5:$C$226,2),'[1]Top25NANT'!$A$5:$C$226,1,FALSE)/'[1]Top25NANT'!$I$228*100)</f>
        <v>11.007887817703768</v>
      </c>
      <c r="E4" s="10">
        <f>VLOOKUP(LARGE('[1]Top25NANT'!$A$5:$A$226,2),'[1]Top25NANT'!$A$5:$P$226,14,FALSE)</f>
        <v>2</v>
      </c>
      <c r="F4" s="11">
        <f>VLOOKUP(LARGE('[1]Top25NANT'!$A$5:$A$226,2),'[1]Top25NANT'!$A$5:$P$226,15,FALSE)</f>
        <v>6017.3</v>
      </c>
      <c r="G4" s="12">
        <f>VLOOKUP(LARGE('[1]Top25NANT'!$A$5:$A$226,2),'[1]Top25NANT'!$A$5:$P$226,10,FALSE)/VLOOKUP(LARGE('[1]Top25NANT'!$A$5:$A$226,2),'[1]Top25NANT'!$A$5:$P$226,13,FALSE)*100</f>
        <v>0</v>
      </c>
      <c r="H4" s="13">
        <f>VLOOKUP(LARGE('[1]Top25NANT'!$A$5:$A$226,2),'[1]Top25NANT'!$A$5:$P$226,11,FALSE)/VLOOKUP(LARGE('[1]Top25NANT'!$A$5:$A$226,2),'[1]Top25NANT'!$A$5:$P$226,13,FALSE)*100</f>
        <v>100</v>
      </c>
      <c r="I4" s="12">
        <f>VLOOKUP(LARGE('[1]Top25NANT'!$A$5:$A$226,2),'[1]Top25NANT'!$A$5:$P$226,4,FALSE)/VLOOKUP(LARGE('[1]Top25NANT'!$A$5:$A$226,2),'[1]Top25NANT'!$A$5:$P$226,9,FALSE)*100</f>
        <v>4.140127388535031</v>
      </c>
      <c r="J4" s="14">
        <f>VLOOKUP(LARGE('[1]Top25NANT'!$A$5:$A$226,2),'[1]Top25NANT'!$A$5:$P$226,5,FALSE)/VLOOKUP(LARGE('[1]Top25NANT'!$A$5:$A$226,2),'[1]Top25NANT'!$A$5:$P$226,9,FALSE)*100</f>
        <v>95.85987261146497</v>
      </c>
      <c r="K4" s="14">
        <f>VLOOKUP(LARGE('[1]Top25NANT'!$A$5:$A$226,2),'[1]Top25NANT'!$A$5:$P$226,6,FALSE)/VLOOKUP(LARGE('[1]Top25NANT'!$A$5:$A$226,2),'[1]Top25NANT'!$A$5:$P$226,9,FALSE)*100</f>
        <v>0</v>
      </c>
      <c r="L4" s="14">
        <f>VLOOKUP(LARGE('[1]Top25NANT'!$A$5:$A$226,2),'[1]Top25NANT'!$A$5:$P$226,7,FALSE)/VLOOKUP(LARGE('[1]Top25NANT'!$A$5:$A$226,2),'[1]Top25NANT'!$A$5:$P$226,9,FALSE)*100</f>
        <v>0</v>
      </c>
    </row>
    <row r="5" spans="1:12" ht="11.25">
      <c r="A5" s="8" t="str">
        <f>VLOOKUP(LARGE('[1]Top25NANT'!$A$5:$C$226,3),'[1]Top25NANT'!$A$5:$C$226,3,FALSE)</f>
        <v>SEPTICEMIA &amp; DISSEMINATED INFECTIONS                                              </v>
      </c>
      <c r="B5" s="9">
        <f>VLOOKUP(LARGE('[1]Top25NANT'!$A$5:$C$226,3),'[1]Top25NANT'!$A$5:$C$226,1,FALSE)</f>
        <v>258</v>
      </c>
      <c r="C5" s="10">
        <f>VLOOKUP(LARGE('[1]Top25NANT'!$A$5:$C$226,3),'[1]Top25NANT'!$A$5:$C$226,1,FALSE)/'[1]Top25NANT'!$I$227*100</f>
        <v>6.892866684477691</v>
      </c>
      <c r="D5" s="10">
        <f>(VLOOKUP(LARGE('[1]Top25NANT'!$A$5:$C$226,3),'[1]Top25NANT'!$A$5:$C$226,1,FALSE)/'[1]Top25NANT'!$I$228*100)</f>
        <v>4.5223488168273445</v>
      </c>
      <c r="E5" s="10">
        <f>VLOOKUP(LARGE('[1]Top25NANT'!$A$5:$A$226,3),'[1]Top25NANT'!$A$5:$P$226,14,FALSE)</f>
        <v>7.9</v>
      </c>
      <c r="F5" s="11">
        <f>VLOOKUP(LARGE('[1]Top25NANT'!$A$5:$A$226,3),'[1]Top25NANT'!$A$5:$P$226,15,FALSE)</f>
        <v>32503.57</v>
      </c>
      <c r="G5" s="12">
        <f>VLOOKUP(LARGE('[1]Top25NANT'!$A$5:$A$226,3),'[1]Top25NANT'!$A$5:$P$226,10,FALSE)/VLOOKUP(LARGE('[1]Top25NANT'!$A$5:$A$226,3),'[1]Top25NANT'!$A$5:$P$226,13,FALSE)*100</f>
        <v>46.12403100775194</v>
      </c>
      <c r="H5" s="13">
        <f>VLOOKUP(LARGE('[1]Top25NANT'!$A$5:$A$226,3),'[1]Top25NANT'!$A$5:$P$226,11,FALSE)/VLOOKUP(LARGE('[1]Top25NANT'!$A$5:$A$226,3),'[1]Top25NANT'!$A$5:$P$226,13,FALSE)*100</f>
        <v>53.875968992248055</v>
      </c>
      <c r="I5" s="12">
        <f>VLOOKUP(LARGE('[1]Top25NANT'!$A$5:$A$226,3),'[1]Top25NANT'!$A$5:$P$226,4,FALSE)/VLOOKUP(LARGE('[1]Top25NANT'!$A$5:$A$226,3),'[1]Top25NANT'!$A$5:$P$226,9,FALSE)*100</f>
        <v>3.10077519379845</v>
      </c>
      <c r="J5" s="14">
        <f>VLOOKUP(LARGE('[1]Top25NANT'!$A$5:$A$226,3),'[1]Top25NANT'!$A$5:$P$226,5,FALSE)/VLOOKUP(LARGE('[1]Top25NANT'!$A$5:$A$226,3),'[1]Top25NANT'!$A$5:$P$226,9,FALSE)*100</f>
        <v>5.813953488372093</v>
      </c>
      <c r="K5" s="14">
        <f>VLOOKUP(LARGE('[1]Top25NANT'!$A$5:$A$226,3),'[1]Top25NANT'!$A$5:$P$226,6,FALSE)/VLOOKUP(LARGE('[1]Top25NANT'!$A$5:$A$226,3),'[1]Top25NANT'!$A$5:$P$226,9,FALSE)*100</f>
        <v>23.643410852713178</v>
      </c>
      <c r="L5" s="14">
        <f>VLOOKUP(LARGE('[1]Top25NANT'!$A$5:$A$226,3),'[1]Top25NANT'!$A$5:$P$226,7,FALSE)/VLOOKUP(LARGE('[1]Top25NANT'!$A$5:$A$226,3),'[1]Top25NANT'!$A$5:$P$226,9,FALSE)*100</f>
        <v>67.44186046511628</v>
      </c>
    </row>
    <row r="6" spans="1:12" ht="11.25">
      <c r="A6" s="8" t="str">
        <f>VLOOKUP(LARGE('[1]Top25NANT'!$A$5:$C$226,4),'[1]Top25NANT'!$A$5:$C$226,3,FALSE)</f>
        <v>CESAREAN DELIVERY                                                                 </v>
      </c>
      <c r="B6" s="9">
        <f>VLOOKUP(LARGE('[1]Top25NANT'!$A$5:$C$226,4),'[1]Top25NANT'!$A$5:$C$226,1,FALSE)</f>
        <v>234</v>
      </c>
      <c r="C6" s="10">
        <f>VLOOKUP(LARGE('[1]Top25NANT'!$A$5:$C$226,4),'[1]Top25NANT'!$A$5:$C$226,1,FALSE)/'[1]Top25NANT'!$I$227*100</f>
        <v>6.251669783596046</v>
      </c>
      <c r="D6" s="10">
        <f>(VLOOKUP(LARGE('[1]Top25NANT'!$A$5:$C$226,4),'[1]Top25NANT'!$A$5:$C$226,1,FALSE)/'[1]Top25NANT'!$I$228*100)</f>
        <v>4.1016652059596845</v>
      </c>
      <c r="E6" s="10">
        <f>VLOOKUP(LARGE('[1]Top25NANT'!$A$5:$A$226,4),'[1]Top25NANT'!$A$5:$P$226,14,FALSE)</f>
        <v>2.6</v>
      </c>
      <c r="F6" s="11">
        <f>VLOOKUP(LARGE('[1]Top25NANT'!$A$5:$A$226,4),'[1]Top25NANT'!$A$5:$P$226,15,FALSE)</f>
        <v>11719.42</v>
      </c>
      <c r="G6" s="12">
        <f>VLOOKUP(LARGE('[1]Top25NANT'!$A$5:$A$226,4),'[1]Top25NANT'!$A$5:$P$226,10,FALSE)/VLOOKUP(LARGE('[1]Top25NANT'!$A$5:$A$226,4),'[1]Top25NANT'!$A$5:$P$226,13,FALSE)*100</f>
        <v>0</v>
      </c>
      <c r="H6" s="13">
        <f>VLOOKUP(LARGE('[1]Top25NANT'!$A$5:$A$226,4),'[1]Top25NANT'!$A$5:$P$226,11,FALSE)/VLOOKUP(LARGE('[1]Top25NANT'!$A$5:$A$226,4),'[1]Top25NANT'!$A$5:$P$226,13,FALSE)*100</f>
        <v>100</v>
      </c>
      <c r="I6" s="12">
        <f>VLOOKUP(LARGE('[1]Top25NANT'!$A$5:$A$226,4),'[1]Top25NANT'!$A$5:$P$226,4,FALSE)/VLOOKUP(LARGE('[1]Top25NANT'!$A$5:$A$226,4),'[1]Top25NANT'!$A$5:$P$226,9,FALSE)*100</f>
        <v>1.282051282051282</v>
      </c>
      <c r="J6" s="14">
        <f>VLOOKUP(LARGE('[1]Top25NANT'!$A$5:$A$226,4),'[1]Top25NANT'!$A$5:$P$226,5,FALSE)/VLOOKUP(LARGE('[1]Top25NANT'!$A$5:$A$226,4),'[1]Top25NANT'!$A$5:$P$226,9,FALSE)*100</f>
        <v>98.71794871794873</v>
      </c>
      <c r="K6" s="14">
        <f>VLOOKUP(LARGE('[1]Top25NANT'!$A$5:$A$226,4),'[1]Top25NANT'!$A$5:$P$226,6,FALSE)/VLOOKUP(LARGE('[1]Top25NANT'!$A$5:$A$226,4),'[1]Top25NANT'!$A$5:$P$226,9,FALSE)*100</f>
        <v>0</v>
      </c>
      <c r="L6" s="14">
        <f>VLOOKUP(LARGE('[1]Top25NANT'!$A$5:$A$226,4),'[1]Top25NANT'!$A$5:$P$226,7,FALSE)/VLOOKUP(LARGE('[1]Top25NANT'!$A$5:$A$226,4),'[1]Top25NANT'!$A$5:$P$226,9,FALSE)*100</f>
        <v>0</v>
      </c>
    </row>
    <row r="7" spans="1:12" ht="11.25">
      <c r="A7" s="8" t="str">
        <f>VLOOKUP(LARGE('[1]Top25NANT'!$A$5:$C$226,5),'[1]Top25NANT'!$A$5:$C$226,3,FALSE)</f>
        <v>HEART FAILURE                                                                     </v>
      </c>
      <c r="B7" s="9">
        <f>VLOOKUP(LARGE('[1]Top25NANT'!$A$5:$C$226,5),'[1]Top25NANT'!$A$5:$C$226,1,FALSE)</f>
        <v>210</v>
      </c>
      <c r="C7" s="10">
        <f>VLOOKUP(LARGE('[1]Top25NANT'!$A$5:$C$226,5),'[1]Top25NANT'!$A$5:$C$226,1,FALSE)/'[1]Top25NANT'!$I$227*100</f>
        <v>5.6104728827144</v>
      </c>
      <c r="D7" s="10">
        <f>(VLOOKUP(LARGE('[1]Top25NANT'!$A$5:$C$226,5),'[1]Top25NANT'!$A$5:$C$226,1,FALSE)/'[1]Top25NANT'!$I$228*100)</f>
        <v>3.6809815950920246</v>
      </c>
      <c r="E7" s="10">
        <f>VLOOKUP(LARGE('[1]Top25NANT'!$A$5:$A$226,5),'[1]Top25NANT'!$A$5:$P$226,14,FALSE)</f>
        <v>3.9</v>
      </c>
      <c r="F7" s="11">
        <f>VLOOKUP(LARGE('[1]Top25NANT'!$A$5:$A$226,5),'[1]Top25NANT'!$A$5:$P$226,15,FALSE)</f>
        <v>14024.94</v>
      </c>
      <c r="G7" s="12">
        <f>VLOOKUP(LARGE('[1]Top25NANT'!$A$5:$A$226,5),'[1]Top25NANT'!$A$5:$P$226,10,FALSE)/VLOOKUP(LARGE('[1]Top25NANT'!$A$5:$A$226,5),'[1]Top25NANT'!$A$5:$P$226,13,FALSE)*100</f>
        <v>50.95238095238095</v>
      </c>
      <c r="H7" s="13">
        <f>VLOOKUP(LARGE('[1]Top25NANT'!$A$5:$A$226,5),'[1]Top25NANT'!$A$5:$P$226,11,FALSE)/VLOOKUP(LARGE('[1]Top25NANT'!$A$5:$A$226,5),'[1]Top25NANT'!$A$5:$P$226,13,FALSE)*100</f>
        <v>49.047619047619044</v>
      </c>
      <c r="I7" s="12">
        <f>VLOOKUP(LARGE('[1]Top25NANT'!$A$5:$A$226,5),'[1]Top25NANT'!$A$5:$P$226,4,FALSE)/VLOOKUP(LARGE('[1]Top25NANT'!$A$5:$A$226,5),'[1]Top25NANT'!$A$5:$P$226,9,FALSE)*100</f>
        <v>0</v>
      </c>
      <c r="J7" s="14">
        <f>VLOOKUP(LARGE('[1]Top25NANT'!$A$5:$A$226,5),'[1]Top25NANT'!$A$5:$P$226,5,FALSE)/VLOOKUP(LARGE('[1]Top25NANT'!$A$5:$A$226,5),'[1]Top25NANT'!$A$5:$P$226,9,FALSE)*100</f>
        <v>7.142857142857142</v>
      </c>
      <c r="K7" s="14">
        <f>VLOOKUP(LARGE('[1]Top25NANT'!$A$5:$A$226,5),'[1]Top25NANT'!$A$5:$P$226,6,FALSE)/VLOOKUP(LARGE('[1]Top25NANT'!$A$5:$A$226,5),'[1]Top25NANT'!$A$5:$P$226,9,FALSE)*100</f>
        <v>23.333333333333332</v>
      </c>
      <c r="L7" s="14">
        <f>VLOOKUP(LARGE('[1]Top25NANT'!$A$5:$A$226,5),'[1]Top25NANT'!$A$5:$P$226,7,FALSE)/VLOOKUP(LARGE('[1]Top25NANT'!$A$5:$A$226,5),'[1]Top25NANT'!$A$5:$P$226,9,FALSE)*100</f>
        <v>69.52380952380952</v>
      </c>
    </row>
    <row r="8" spans="1:12" ht="11.25">
      <c r="A8" s="8" t="str">
        <f>VLOOKUP(LARGE('[1]Top25NANT'!$A$5:$C$226,6),'[1]Top25NANT'!$A$5:$C$226,3,FALSE)</f>
        <v>CHRONIC OBSTRUCTIVE PULMONARY DISEASE                                             </v>
      </c>
      <c r="B8" s="9">
        <f>VLOOKUP(LARGE('[1]Top25NANT'!$A$5:$C$226,6),'[1]Top25NANT'!$A$5:$C$226,1,FALSE)</f>
        <v>193</v>
      </c>
      <c r="C8" s="10">
        <f>VLOOKUP(LARGE('[1]Top25NANT'!$A$5:$C$226,6),'[1]Top25NANT'!$A$5:$C$226,1,FALSE)/'[1]Top25NANT'!$I$227*100</f>
        <v>5.156291744589901</v>
      </c>
      <c r="D8" s="10">
        <f>(VLOOKUP(LARGE('[1]Top25NANT'!$A$5:$C$226,6),'[1]Top25NANT'!$A$5:$C$226,1,FALSE)/'[1]Top25NANT'!$I$228*100)</f>
        <v>3.3829973707274323</v>
      </c>
      <c r="E8" s="10">
        <f>VLOOKUP(LARGE('[1]Top25NANT'!$A$5:$A$226,6),'[1]Top25NANT'!$A$5:$P$226,14,FALSE)</f>
        <v>4</v>
      </c>
      <c r="F8" s="11">
        <f>VLOOKUP(LARGE('[1]Top25NANT'!$A$5:$A$226,6),'[1]Top25NANT'!$A$5:$P$226,15,FALSE)</f>
        <v>12748.87</v>
      </c>
      <c r="G8" s="12">
        <f>VLOOKUP(LARGE('[1]Top25NANT'!$A$5:$A$226,6),'[1]Top25NANT'!$A$5:$P$226,10,FALSE)/VLOOKUP(LARGE('[1]Top25NANT'!$A$5:$A$226,6),'[1]Top25NANT'!$A$5:$P$226,13,FALSE)*100</f>
        <v>43.523316062176164</v>
      </c>
      <c r="H8" s="13">
        <f>VLOOKUP(LARGE('[1]Top25NANT'!$A$5:$A$226,6),'[1]Top25NANT'!$A$5:$P$226,11,FALSE)/VLOOKUP(LARGE('[1]Top25NANT'!$A$5:$A$226,6),'[1]Top25NANT'!$A$5:$P$226,13,FALSE)*100</f>
        <v>56.476683937823836</v>
      </c>
      <c r="I8" s="12">
        <f>VLOOKUP(LARGE('[1]Top25NANT'!$A$5:$A$226,6),'[1]Top25NANT'!$A$5:$P$226,4,FALSE)/VLOOKUP(LARGE('[1]Top25NANT'!$A$5:$A$226,6),'[1]Top25NANT'!$A$5:$P$226,9,FALSE)*100</f>
        <v>0</v>
      </c>
      <c r="J8" s="14">
        <f>VLOOKUP(LARGE('[1]Top25NANT'!$A$5:$A$226,6),'[1]Top25NANT'!$A$5:$P$226,5,FALSE)/VLOOKUP(LARGE('[1]Top25NANT'!$A$5:$A$226,6),'[1]Top25NANT'!$A$5:$P$226,9,FALSE)*100</f>
        <v>2.5906735751295336</v>
      </c>
      <c r="K8" s="14">
        <f>VLOOKUP(LARGE('[1]Top25NANT'!$A$5:$A$226,6),'[1]Top25NANT'!$A$5:$P$226,6,FALSE)/VLOOKUP(LARGE('[1]Top25NANT'!$A$5:$A$226,6),'[1]Top25NANT'!$A$5:$P$226,9,FALSE)*100</f>
        <v>37.82383419689119</v>
      </c>
      <c r="L8" s="14">
        <f>VLOOKUP(LARGE('[1]Top25NANT'!$A$5:$A$226,6),'[1]Top25NANT'!$A$5:$P$226,7,FALSE)/VLOOKUP(LARGE('[1]Top25NANT'!$A$5:$A$226,6),'[1]Top25NANT'!$A$5:$P$226,9,FALSE)*100</f>
        <v>59.58549222797927</v>
      </c>
    </row>
    <row r="9" spans="1:12" ht="11.25">
      <c r="A9" s="8" t="str">
        <f>VLOOKUP(LARGE('[1]Top25NANT'!$A$5:$C$226,7),'[1]Top25NANT'!$A$5:$C$226,3,FALSE)</f>
        <v>PULMONARY EDEMA &amp; RESPIRATORY FAILURE                                             </v>
      </c>
      <c r="B9" s="9">
        <f>VLOOKUP(LARGE('[1]Top25NANT'!$A$5:$C$226,7),'[1]Top25NANT'!$A$5:$C$226,1,FALSE)</f>
        <v>157</v>
      </c>
      <c r="C9" s="10">
        <f>VLOOKUP(LARGE('[1]Top25NANT'!$A$5:$C$226,7),'[1]Top25NANT'!$A$5:$C$226,1,FALSE)/'[1]Top25NANT'!$I$227*100</f>
        <v>4.194496393267433</v>
      </c>
      <c r="D9" s="10">
        <f>(VLOOKUP(LARGE('[1]Top25NANT'!$A$5:$C$226,7),'[1]Top25NANT'!$A$5:$C$226,1,FALSE)/'[1]Top25NANT'!$I$228*100)</f>
        <v>2.751971954425942</v>
      </c>
      <c r="E9" s="10">
        <f>VLOOKUP(LARGE('[1]Top25NANT'!$A$5:$A$226,7),'[1]Top25NANT'!$A$5:$P$226,14,FALSE)</f>
        <v>5.3</v>
      </c>
      <c r="F9" s="11">
        <f>VLOOKUP(LARGE('[1]Top25NANT'!$A$5:$A$226,7),'[1]Top25NANT'!$A$5:$P$226,15,FALSE)</f>
        <v>22476.47</v>
      </c>
      <c r="G9" s="12">
        <f>VLOOKUP(LARGE('[1]Top25NANT'!$A$5:$A$226,7),'[1]Top25NANT'!$A$5:$P$226,10,FALSE)/VLOOKUP(LARGE('[1]Top25NANT'!$A$5:$A$226,7),'[1]Top25NANT'!$A$5:$P$226,13,FALSE)*100</f>
        <v>45.22292993630573</v>
      </c>
      <c r="H9" s="13">
        <f>VLOOKUP(LARGE('[1]Top25NANT'!$A$5:$A$226,7),'[1]Top25NANT'!$A$5:$P$226,11,FALSE)/VLOOKUP(LARGE('[1]Top25NANT'!$A$5:$A$226,7),'[1]Top25NANT'!$A$5:$P$226,13,FALSE)*100</f>
        <v>54.77707006369427</v>
      </c>
      <c r="I9" s="12">
        <f>VLOOKUP(LARGE('[1]Top25NANT'!$A$5:$A$226,7),'[1]Top25NANT'!$A$5:$P$226,4,FALSE)/VLOOKUP(LARGE('[1]Top25NANT'!$A$5:$A$226,7),'[1]Top25NANT'!$A$5:$P$226,9,FALSE)*100</f>
        <v>0</v>
      </c>
      <c r="J9" s="14">
        <f>VLOOKUP(LARGE('[1]Top25NANT'!$A$5:$A$226,7),'[1]Top25NANT'!$A$5:$P$226,5,FALSE)/VLOOKUP(LARGE('[1]Top25NANT'!$A$5:$A$226,7),'[1]Top25NANT'!$A$5:$P$226,9,FALSE)*100</f>
        <v>7.643312101910828</v>
      </c>
      <c r="K9" s="14">
        <f>VLOOKUP(LARGE('[1]Top25NANT'!$A$5:$A$226,7),'[1]Top25NANT'!$A$5:$P$226,6,FALSE)/VLOOKUP(LARGE('[1]Top25NANT'!$A$5:$A$226,7),'[1]Top25NANT'!$A$5:$P$226,9,FALSE)*100</f>
        <v>40.76433121019109</v>
      </c>
      <c r="L9" s="14">
        <f>VLOOKUP(LARGE('[1]Top25NANT'!$A$5:$A$226,7),'[1]Top25NANT'!$A$5:$P$226,7,FALSE)/VLOOKUP(LARGE('[1]Top25NANT'!$A$5:$A$226,7),'[1]Top25NANT'!$A$5:$P$226,9,FALSE)*100</f>
        <v>51.59235668789809</v>
      </c>
    </row>
    <row r="10" spans="1:12" ht="11.25">
      <c r="A10" s="8" t="str">
        <f>VLOOKUP(LARGE('[1]Top25NANT'!$A$5:$C$226,8),'[1]Top25NANT'!$A$5:$C$226,3,FALSE)</f>
        <v>OTHER PNEUMONIA                                                                   </v>
      </c>
      <c r="B10" s="9">
        <f>VLOOKUP(LARGE('[1]Top25NANT'!$A$5:$C$226,8),'[1]Top25NANT'!$A$5:$C$226,1,FALSE)</f>
        <v>134</v>
      </c>
      <c r="C10" s="10">
        <f>VLOOKUP(LARGE('[1]Top25NANT'!$A$5:$C$226,8),'[1]Top25NANT'!$A$5:$C$226,1,FALSE)/'[1]Top25NANT'!$I$227*100</f>
        <v>3.580016029922522</v>
      </c>
      <c r="D10" s="10">
        <f>(VLOOKUP(LARGE('[1]Top25NANT'!$A$5:$C$226,8),'[1]Top25NANT'!$A$5:$C$226,1,FALSE)/'[1]Top25NANT'!$I$228*100)</f>
        <v>2.3488168273444345</v>
      </c>
      <c r="E10" s="10">
        <f>VLOOKUP(LARGE('[1]Top25NANT'!$A$5:$A$226,8),'[1]Top25NANT'!$A$5:$P$226,14,FALSE)</f>
        <v>4.3</v>
      </c>
      <c r="F10" s="11">
        <f>VLOOKUP(LARGE('[1]Top25NANT'!$A$5:$A$226,8),'[1]Top25NANT'!$A$5:$P$226,15,FALSE)</f>
        <v>14569.27</v>
      </c>
      <c r="G10" s="12">
        <f>VLOOKUP(LARGE('[1]Top25NANT'!$A$5:$A$226,8),'[1]Top25NANT'!$A$5:$P$226,10,FALSE)/VLOOKUP(LARGE('[1]Top25NANT'!$A$5:$A$226,8),'[1]Top25NANT'!$A$5:$P$226,13,FALSE)*100</f>
        <v>44.02985074626866</v>
      </c>
      <c r="H10" s="13">
        <f>VLOOKUP(LARGE('[1]Top25NANT'!$A$5:$A$226,8),'[1]Top25NANT'!$A$5:$P$226,11,FALSE)/VLOOKUP(LARGE('[1]Top25NANT'!$A$5:$A$226,8),'[1]Top25NANT'!$A$5:$P$226,13,FALSE)*100</f>
        <v>55.970149253731336</v>
      </c>
      <c r="I10" s="12">
        <f>VLOOKUP(LARGE('[1]Top25NANT'!$A$5:$A$226,8),'[1]Top25NANT'!$A$5:$P$226,4,FALSE)/VLOOKUP(LARGE('[1]Top25NANT'!$A$5:$A$226,8),'[1]Top25NANT'!$A$5:$P$226,9,FALSE)*100</f>
        <v>14.17910447761194</v>
      </c>
      <c r="J10" s="14">
        <f>VLOOKUP(LARGE('[1]Top25NANT'!$A$5:$A$226,8),'[1]Top25NANT'!$A$5:$P$226,5,FALSE)/VLOOKUP(LARGE('[1]Top25NANT'!$A$5:$A$226,8),'[1]Top25NANT'!$A$5:$P$226,9,FALSE)*100</f>
        <v>11.194029850746269</v>
      </c>
      <c r="K10" s="14">
        <f>VLOOKUP(LARGE('[1]Top25NANT'!$A$5:$A$226,8),'[1]Top25NANT'!$A$5:$P$226,6,FALSE)/VLOOKUP(LARGE('[1]Top25NANT'!$A$5:$A$226,8),'[1]Top25NANT'!$A$5:$P$226,9,FALSE)*100</f>
        <v>20.8955223880597</v>
      </c>
      <c r="L10" s="14">
        <f>VLOOKUP(LARGE('[1]Top25NANT'!$A$5:$A$226,8),'[1]Top25NANT'!$A$5:$P$226,7,FALSE)/VLOOKUP(LARGE('[1]Top25NANT'!$A$5:$A$226,8),'[1]Top25NANT'!$A$5:$P$226,9,FALSE)*100</f>
        <v>53.73134328358209</v>
      </c>
    </row>
    <row r="11" spans="1:12" ht="11.25">
      <c r="A11" s="8" t="str">
        <f>VLOOKUP(LARGE('[1]Top25NANT'!$A$5:$C$226,9),'[1]Top25NANT'!$A$5:$C$226,3,FALSE)</f>
        <v>CELLULITIS &amp; OTHER BACTERIAL SKIN INFECTIONS                                      </v>
      </c>
      <c r="B11" s="9">
        <f>VLOOKUP(LARGE('[1]Top25NANT'!$A$5:$C$226,9),'[1]Top25NANT'!$A$5:$C$226,1,FALSE)</f>
        <v>114</v>
      </c>
      <c r="C11" s="10">
        <f>VLOOKUP(LARGE('[1]Top25NANT'!$A$5:$C$226,9),'[1]Top25NANT'!$A$5:$C$226,1,FALSE)/'[1]Top25NANT'!$I$227*100</f>
        <v>3.0456852791878175</v>
      </c>
      <c r="D11" s="10">
        <f>(VLOOKUP(LARGE('[1]Top25NANT'!$A$5:$C$226,9),'[1]Top25NANT'!$A$5:$C$226,1,FALSE)/'[1]Top25NANT'!$I$228*100)</f>
        <v>1.9982471516213847</v>
      </c>
      <c r="E11" s="10">
        <f>VLOOKUP(LARGE('[1]Top25NANT'!$A$5:$A$226,9),'[1]Top25NANT'!$A$5:$P$226,14,FALSE)</f>
        <v>4.1</v>
      </c>
      <c r="F11" s="11">
        <f>VLOOKUP(LARGE('[1]Top25NANT'!$A$5:$A$226,9),'[1]Top25NANT'!$A$5:$P$226,15,FALSE)</f>
        <v>11693.14</v>
      </c>
      <c r="G11" s="12">
        <f>VLOOKUP(LARGE('[1]Top25NANT'!$A$5:$A$226,9),'[1]Top25NANT'!$A$5:$P$226,10,FALSE)/VLOOKUP(LARGE('[1]Top25NANT'!$A$5:$A$226,9),'[1]Top25NANT'!$A$5:$P$226,13,FALSE)*100</f>
        <v>43.859649122807014</v>
      </c>
      <c r="H11" s="13">
        <f>VLOOKUP(LARGE('[1]Top25NANT'!$A$5:$A$226,9),'[1]Top25NANT'!$A$5:$P$226,11,FALSE)/VLOOKUP(LARGE('[1]Top25NANT'!$A$5:$A$226,9),'[1]Top25NANT'!$A$5:$P$226,13,FALSE)*100</f>
        <v>56.14035087719298</v>
      </c>
      <c r="I11" s="12">
        <f>VLOOKUP(LARGE('[1]Top25NANT'!$A$5:$A$226,9),'[1]Top25NANT'!$A$5:$P$226,4,FALSE)/VLOOKUP(LARGE('[1]Top25NANT'!$A$5:$A$226,9),'[1]Top25NANT'!$A$5:$P$226,9,FALSE)*100</f>
        <v>2.631578947368421</v>
      </c>
      <c r="J11" s="14">
        <f>VLOOKUP(LARGE('[1]Top25NANT'!$A$5:$A$226,9),'[1]Top25NANT'!$A$5:$P$226,5,FALSE)/VLOOKUP(LARGE('[1]Top25NANT'!$A$5:$A$226,9),'[1]Top25NANT'!$A$5:$P$226,9,FALSE)*100</f>
        <v>23.684210526315788</v>
      </c>
      <c r="K11" s="14">
        <f>VLOOKUP(LARGE('[1]Top25NANT'!$A$5:$A$226,9),'[1]Top25NANT'!$A$5:$P$226,6,FALSE)/VLOOKUP(LARGE('[1]Top25NANT'!$A$5:$A$226,9),'[1]Top25NANT'!$A$5:$P$226,9,FALSE)*100</f>
        <v>28.07017543859649</v>
      </c>
      <c r="L11" s="14">
        <f>VLOOKUP(LARGE('[1]Top25NANT'!$A$5:$A$226,9),'[1]Top25NANT'!$A$5:$P$226,7,FALSE)/VLOOKUP(LARGE('[1]Top25NANT'!$A$5:$A$226,9),'[1]Top25NANT'!$A$5:$P$226,9,FALSE)*100</f>
        <v>45.614035087719294</v>
      </c>
    </row>
    <row r="12" spans="1:12" ht="11.25">
      <c r="A12" s="8" t="str">
        <f>VLOOKUP(LARGE('[1]Top25NANT'!$A$5:$C$226,10),'[1]Top25NANT'!$A$5:$C$226,3,FALSE)</f>
        <v>PERCUTANEOUS CARDIOVASCULAR PROCEDURES W/O AMI                                    </v>
      </c>
      <c r="B12" s="9">
        <f>VLOOKUP(LARGE('[1]Top25NANT'!$A$5:$C$226,10),'[1]Top25NANT'!$A$5:$C$226,1,FALSE)</f>
        <v>108</v>
      </c>
      <c r="C12" s="10">
        <f>VLOOKUP(LARGE('[1]Top25NANT'!$A$5:$C$226,10),'[1]Top25NANT'!$A$5:$C$226,1,FALSE)/'[1]Top25NANT'!$I$227*100</f>
        <v>2.8853860539674057</v>
      </c>
      <c r="D12" s="10">
        <f>(VLOOKUP(LARGE('[1]Top25NANT'!$A$5:$C$226,10),'[1]Top25NANT'!$A$5:$C$226,1,FALSE)/'[1]Top25NANT'!$I$228*100)</f>
        <v>1.8930762489044697</v>
      </c>
      <c r="E12" s="10">
        <f>VLOOKUP(LARGE('[1]Top25NANT'!$A$5:$A$226,10),'[1]Top25NANT'!$A$5:$P$226,14,FALSE)</f>
        <v>3.2</v>
      </c>
      <c r="F12" s="11">
        <f>VLOOKUP(LARGE('[1]Top25NANT'!$A$5:$A$226,10),'[1]Top25NANT'!$A$5:$P$226,15,FALSE)</f>
        <v>40674.07</v>
      </c>
      <c r="G12" s="12">
        <f>VLOOKUP(LARGE('[1]Top25NANT'!$A$5:$A$226,10),'[1]Top25NANT'!$A$5:$P$226,10,FALSE)/VLOOKUP(LARGE('[1]Top25NANT'!$A$5:$A$226,10),'[1]Top25NANT'!$A$5:$P$226,13,FALSE)*100</f>
        <v>58.333333333333336</v>
      </c>
      <c r="H12" s="13">
        <f>VLOOKUP(LARGE('[1]Top25NANT'!$A$5:$A$226,10),'[1]Top25NANT'!$A$5:$P$226,11,FALSE)/VLOOKUP(LARGE('[1]Top25NANT'!$A$5:$A$226,10),'[1]Top25NANT'!$A$5:$P$226,13,FALSE)*100</f>
        <v>41.66666666666667</v>
      </c>
      <c r="I12" s="12">
        <f>VLOOKUP(LARGE('[1]Top25NANT'!$A$5:$A$226,10),'[1]Top25NANT'!$A$5:$P$226,4,FALSE)/VLOOKUP(LARGE('[1]Top25NANT'!$A$5:$A$226,10),'[1]Top25NANT'!$A$5:$P$226,9,FALSE)*100</f>
        <v>0</v>
      </c>
      <c r="J12" s="14">
        <f>VLOOKUP(LARGE('[1]Top25NANT'!$A$5:$A$226,10),'[1]Top25NANT'!$A$5:$P$226,5,FALSE)/VLOOKUP(LARGE('[1]Top25NANT'!$A$5:$A$226,10),'[1]Top25NANT'!$A$5:$P$226,9,FALSE)*100</f>
        <v>2.7777777777777777</v>
      </c>
      <c r="K12" s="14">
        <f>VLOOKUP(LARGE('[1]Top25NANT'!$A$5:$A$226,10),'[1]Top25NANT'!$A$5:$P$226,6,FALSE)/VLOOKUP(LARGE('[1]Top25NANT'!$A$5:$A$226,10),'[1]Top25NANT'!$A$5:$P$226,9,FALSE)*100</f>
        <v>50.92592592592593</v>
      </c>
      <c r="L12" s="14">
        <f>VLOOKUP(LARGE('[1]Top25NANT'!$A$5:$A$226,10),'[1]Top25NANT'!$A$5:$P$226,7,FALSE)/VLOOKUP(LARGE('[1]Top25NANT'!$A$5:$A$226,10),'[1]Top25NANT'!$A$5:$P$226,9,FALSE)*100</f>
        <v>46.2962962962963</v>
      </c>
    </row>
    <row r="13" spans="1:12" ht="11.25">
      <c r="A13" s="8" t="str">
        <f>VLOOKUP(LARGE('[1]Top25NANT'!$A$5:$C$226,11),'[1]Top25NANT'!$A$5:$C$226,3,FALSE)</f>
        <v>CARDIAC ARRHYTHMIA &amp; CONDUCTION DISORDERS                                         </v>
      </c>
      <c r="B13" s="9">
        <f>VLOOKUP(LARGE('[1]Top25NANT'!$A$5:$C$226,11),'[1]Top25NANT'!$A$5:$C$226,1,FALSE)</f>
        <v>89</v>
      </c>
      <c r="C13" s="10">
        <f>VLOOKUP(LARGE('[1]Top25NANT'!$A$5:$C$226,11),'[1]Top25NANT'!$A$5:$C$226,1,FALSE)/'[1]Top25NANT'!$I$227*100</f>
        <v>2.3777718407694364</v>
      </c>
      <c r="D13" s="10">
        <f>(VLOOKUP(LARGE('[1]Top25NANT'!$A$5:$C$226,11),'[1]Top25NANT'!$A$5:$C$226,1,FALSE)/'[1]Top25NANT'!$I$228*100)</f>
        <v>1.5600350569675723</v>
      </c>
      <c r="E13" s="10">
        <f>VLOOKUP(LARGE('[1]Top25NANT'!$A$5:$A$226,11),'[1]Top25NANT'!$A$5:$P$226,14,FALSE)</f>
        <v>2.8</v>
      </c>
      <c r="F13" s="11">
        <f>VLOOKUP(LARGE('[1]Top25NANT'!$A$5:$A$226,11),'[1]Top25NANT'!$A$5:$P$226,15,FALSE)</f>
        <v>11707.2</v>
      </c>
      <c r="G13" s="12">
        <f>VLOOKUP(LARGE('[1]Top25NANT'!$A$5:$A$226,11),'[1]Top25NANT'!$A$5:$P$226,10,FALSE)/VLOOKUP(LARGE('[1]Top25NANT'!$A$5:$A$226,11),'[1]Top25NANT'!$A$5:$P$226,13,FALSE)*100</f>
        <v>44.9438202247191</v>
      </c>
      <c r="H13" s="13">
        <f>VLOOKUP(LARGE('[1]Top25NANT'!$A$5:$A$226,11),'[1]Top25NANT'!$A$5:$P$226,11,FALSE)/VLOOKUP(LARGE('[1]Top25NANT'!$A$5:$A$226,11),'[1]Top25NANT'!$A$5:$P$226,13,FALSE)*100</f>
        <v>55.0561797752809</v>
      </c>
      <c r="I13" s="12">
        <f>VLOOKUP(LARGE('[1]Top25NANT'!$A$5:$A$226,11),'[1]Top25NANT'!$A$5:$P$226,4,FALSE)/VLOOKUP(LARGE('[1]Top25NANT'!$A$5:$A$226,11),'[1]Top25NANT'!$A$5:$P$226,9,FALSE)*100</f>
        <v>0</v>
      </c>
      <c r="J13" s="14">
        <f>VLOOKUP(LARGE('[1]Top25NANT'!$A$5:$A$226,11),'[1]Top25NANT'!$A$5:$P$226,5,FALSE)/VLOOKUP(LARGE('[1]Top25NANT'!$A$5:$A$226,11),'[1]Top25NANT'!$A$5:$P$226,9,FALSE)*100</f>
        <v>5.617977528089887</v>
      </c>
      <c r="K13" s="14">
        <f>VLOOKUP(LARGE('[1]Top25NANT'!$A$5:$A$226,11),'[1]Top25NANT'!$A$5:$P$226,6,FALSE)/VLOOKUP(LARGE('[1]Top25NANT'!$A$5:$A$226,11),'[1]Top25NANT'!$A$5:$P$226,9,FALSE)*100</f>
        <v>33.70786516853933</v>
      </c>
      <c r="L13" s="14">
        <f>VLOOKUP(LARGE('[1]Top25NANT'!$A$5:$A$226,11),'[1]Top25NANT'!$A$5:$P$226,7,FALSE)/VLOOKUP(LARGE('[1]Top25NANT'!$A$5:$A$226,11),'[1]Top25NANT'!$A$5:$P$226,9,FALSE)*100</f>
        <v>60.67415730337079</v>
      </c>
    </row>
    <row r="14" spans="1:12" ht="11.25">
      <c r="A14" s="8" t="str">
        <f>VLOOKUP(LARGE('[1]Top25NANT'!$A$5:$C$226,12),'[1]Top25NANT'!$A$5:$C$226,3,FALSE)</f>
        <v>RENAL FAILURE                                                                     </v>
      </c>
      <c r="B14" s="9">
        <f>VLOOKUP(LARGE('[1]Top25NANT'!$A$5:$C$226,12),'[1]Top25NANT'!$A$5:$C$226,1,FALSE)</f>
        <v>86</v>
      </c>
      <c r="C14" s="10">
        <f>VLOOKUP(LARGE('[1]Top25NANT'!$A$5:$C$226,12),'[1]Top25NANT'!$A$5:$C$226,1,FALSE)/'[1]Top25NANT'!$I$227*100</f>
        <v>2.2976222281592307</v>
      </c>
      <c r="D14" s="10">
        <f>(VLOOKUP(LARGE('[1]Top25NANT'!$A$5:$C$226,12),'[1]Top25NANT'!$A$5:$C$226,1,FALSE)/'[1]Top25NANT'!$I$228*100)</f>
        <v>1.507449605609115</v>
      </c>
      <c r="E14" s="10">
        <f>VLOOKUP(LARGE('[1]Top25NANT'!$A$5:$A$226,12),'[1]Top25NANT'!$A$5:$P$226,14,FALSE)</f>
        <v>4.3</v>
      </c>
      <c r="F14" s="11">
        <f>VLOOKUP(LARGE('[1]Top25NANT'!$A$5:$A$226,12),'[1]Top25NANT'!$A$5:$P$226,15,FALSE)</f>
        <v>15193.68</v>
      </c>
      <c r="G14" s="12">
        <f>VLOOKUP(LARGE('[1]Top25NANT'!$A$5:$A$226,12),'[1]Top25NANT'!$A$5:$P$226,10,FALSE)/VLOOKUP(LARGE('[1]Top25NANT'!$A$5:$A$226,12),'[1]Top25NANT'!$A$5:$P$226,13,FALSE)*100</f>
        <v>50</v>
      </c>
      <c r="H14" s="13">
        <f>VLOOKUP(LARGE('[1]Top25NANT'!$A$5:$A$226,12),'[1]Top25NANT'!$A$5:$P$226,11,FALSE)/VLOOKUP(LARGE('[1]Top25NANT'!$A$5:$A$226,12),'[1]Top25NANT'!$A$5:$P$226,13,FALSE)*100</f>
        <v>50</v>
      </c>
      <c r="I14" s="12">
        <f>VLOOKUP(LARGE('[1]Top25NANT'!$A$5:$A$226,12),'[1]Top25NANT'!$A$5:$P$226,4,FALSE)/VLOOKUP(LARGE('[1]Top25NANT'!$A$5:$A$226,12),'[1]Top25NANT'!$A$5:$P$226,9,FALSE)*100</f>
        <v>0</v>
      </c>
      <c r="J14" s="14">
        <f>VLOOKUP(LARGE('[1]Top25NANT'!$A$5:$A$226,12),'[1]Top25NANT'!$A$5:$P$226,5,FALSE)/VLOOKUP(LARGE('[1]Top25NANT'!$A$5:$A$226,12),'[1]Top25NANT'!$A$5:$P$226,9,FALSE)*100</f>
        <v>15.11627906976744</v>
      </c>
      <c r="K14" s="14">
        <f>VLOOKUP(LARGE('[1]Top25NANT'!$A$5:$A$226,12),'[1]Top25NANT'!$A$5:$P$226,6,FALSE)/VLOOKUP(LARGE('[1]Top25NANT'!$A$5:$A$226,12),'[1]Top25NANT'!$A$5:$P$226,9,FALSE)*100</f>
        <v>24.418604651162788</v>
      </c>
      <c r="L14" s="14">
        <f>VLOOKUP(LARGE('[1]Top25NANT'!$A$5:$A$226,12),'[1]Top25NANT'!$A$5:$P$226,7,FALSE)/VLOOKUP(LARGE('[1]Top25NANT'!$A$5:$A$226,12),'[1]Top25NANT'!$A$5:$P$226,9,FALSE)*100</f>
        <v>60.46511627906976</v>
      </c>
    </row>
    <row r="15" spans="1:12" ht="11.25">
      <c r="A15" s="8" t="str">
        <f>VLOOKUP(LARGE('[1]Top25NANT'!$A$5:$C$226,13),'[1]Top25NANT'!$A$5:$C$226,3,FALSE)</f>
        <v>CVA &amp; PRECEREBRAL OCCLUSION  W INFARCT                                            </v>
      </c>
      <c r="B15" s="9">
        <f>VLOOKUP(LARGE('[1]Top25NANT'!$A$5:$C$226,13),'[1]Top25NANT'!$A$5:$C$226,1,FALSE)</f>
        <v>79</v>
      </c>
      <c r="C15" s="10">
        <f>VLOOKUP(LARGE('[1]Top25NANT'!$A$5:$C$226,13),'[1]Top25NANT'!$A$5:$C$226,1,FALSE)/'[1]Top25NANT'!$I$227*100</f>
        <v>2.1106064654020837</v>
      </c>
      <c r="D15" s="10">
        <f>(VLOOKUP(LARGE('[1]Top25NANT'!$A$5:$C$226,13),'[1]Top25NANT'!$A$5:$C$226,1,FALSE)/'[1]Top25NANT'!$I$228*100)</f>
        <v>1.3847502191060475</v>
      </c>
      <c r="E15" s="10">
        <f>VLOOKUP(LARGE('[1]Top25NANT'!$A$5:$A$226,13),'[1]Top25NANT'!$A$5:$P$226,14,FALSE)</f>
        <v>4.1</v>
      </c>
      <c r="F15" s="11">
        <f>VLOOKUP(LARGE('[1]Top25NANT'!$A$5:$A$226,13),'[1]Top25NANT'!$A$5:$P$226,15,FALSE)</f>
        <v>20212.4</v>
      </c>
      <c r="G15" s="12">
        <f>VLOOKUP(LARGE('[1]Top25NANT'!$A$5:$A$226,13),'[1]Top25NANT'!$A$5:$P$226,10,FALSE)/VLOOKUP(LARGE('[1]Top25NANT'!$A$5:$A$226,13),'[1]Top25NANT'!$A$5:$P$226,13,FALSE)*100</f>
        <v>45.56962025316456</v>
      </c>
      <c r="H15" s="13">
        <f>VLOOKUP(LARGE('[1]Top25NANT'!$A$5:$A$226,13),'[1]Top25NANT'!$A$5:$P$226,11,FALSE)/VLOOKUP(LARGE('[1]Top25NANT'!$A$5:$A$226,13),'[1]Top25NANT'!$A$5:$P$226,13,FALSE)*100</f>
        <v>54.43037974683544</v>
      </c>
      <c r="I15" s="12">
        <f>VLOOKUP(LARGE('[1]Top25NANT'!$A$5:$A$226,13),'[1]Top25NANT'!$A$5:$P$226,4,FALSE)/VLOOKUP(LARGE('[1]Top25NANT'!$A$5:$A$226,13),'[1]Top25NANT'!$A$5:$P$226,9,FALSE)*100</f>
        <v>0</v>
      </c>
      <c r="J15" s="14">
        <f>VLOOKUP(LARGE('[1]Top25NANT'!$A$5:$A$226,13),'[1]Top25NANT'!$A$5:$P$226,5,FALSE)/VLOOKUP(LARGE('[1]Top25NANT'!$A$5:$A$226,13),'[1]Top25NANT'!$A$5:$P$226,9,FALSE)*100</f>
        <v>5.063291139240507</v>
      </c>
      <c r="K15" s="14">
        <f>VLOOKUP(LARGE('[1]Top25NANT'!$A$5:$A$226,13),'[1]Top25NANT'!$A$5:$P$226,6,FALSE)/VLOOKUP(LARGE('[1]Top25NANT'!$A$5:$A$226,13),'[1]Top25NANT'!$A$5:$P$226,9,FALSE)*100</f>
        <v>31.645569620253166</v>
      </c>
      <c r="L15" s="14">
        <f>VLOOKUP(LARGE('[1]Top25NANT'!$A$5:$A$226,13),'[1]Top25NANT'!$A$5:$P$226,7,FALSE)/VLOOKUP(LARGE('[1]Top25NANT'!$A$5:$A$226,13),'[1]Top25NANT'!$A$5:$P$226,9,FALSE)*100</f>
        <v>63.29113924050633</v>
      </c>
    </row>
    <row r="16" spans="1:12" ht="11.25">
      <c r="A16" s="8" t="str">
        <f>VLOOKUP(LARGE('[1]Top25NANT'!$A$5:$C$226,14),'[1]Top25NANT'!$A$5:$C$226,3,FALSE)</f>
        <v>MAJOR RESPIRATORY INFECTIONS &amp; INFLAMMATIONS                                      </v>
      </c>
      <c r="B16" s="9">
        <f>VLOOKUP(LARGE('[1]Top25NANT'!$A$5:$C$226,14),'[1]Top25NANT'!$A$5:$C$226,1,FALSE)</f>
        <v>73</v>
      </c>
      <c r="C16" s="10">
        <f>VLOOKUP(LARGE('[1]Top25NANT'!$A$5:$C$226,14),'[1]Top25NANT'!$A$5:$C$226,1,FALSE)/'[1]Top25NANT'!$I$227*100</f>
        <v>1.9503072401816726</v>
      </c>
      <c r="D16" s="10">
        <f>(VLOOKUP(LARGE('[1]Top25NANT'!$A$5:$C$226,14),'[1]Top25NANT'!$A$5:$C$226,1,FALSE)/'[1]Top25NANT'!$I$228*100)</f>
        <v>1.2795793163891325</v>
      </c>
      <c r="E16" s="10">
        <f>VLOOKUP(LARGE('[1]Top25NANT'!$A$5:$A$226,14),'[1]Top25NANT'!$A$5:$P$226,14,FALSE)</f>
        <v>7</v>
      </c>
      <c r="F16" s="11">
        <f>VLOOKUP(LARGE('[1]Top25NANT'!$A$5:$A$226,14),'[1]Top25NANT'!$A$5:$P$226,15,FALSE)</f>
        <v>24521.36</v>
      </c>
      <c r="G16" s="12">
        <f>VLOOKUP(LARGE('[1]Top25NANT'!$A$5:$A$226,14),'[1]Top25NANT'!$A$5:$P$226,10,FALSE)/VLOOKUP(LARGE('[1]Top25NANT'!$A$5:$A$226,14),'[1]Top25NANT'!$A$5:$P$226,13,FALSE)*100</f>
        <v>61.64383561643836</v>
      </c>
      <c r="H16" s="13">
        <f>VLOOKUP(LARGE('[1]Top25NANT'!$A$5:$A$226,14),'[1]Top25NANT'!$A$5:$P$226,11,FALSE)/VLOOKUP(LARGE('[1]Top25NANT'!$A$5:$A$226,14),'[1]Top25NANT'!$A$5:$P$226,13,FALSE)*100</f>
        <v>38.35616438356164</v>
      </c>
      <c r="I16" s="12">
        <f>VLOOKUP(LARGE('[1]Top25NANT'!$A$5:$A$226,14),'[1]Top25NANT'!$A$5:$P$226,4,FALSE)/VLOOKUP(LARGE('[1]Top25NANT'!$A$5:$A$226,14),'[1]Top25NANT'!$A$5:$P$226,9,FALSE)*100</f>
        <v>0</v>
      </c>
      <c r="J16" s="14">
        <f>VLOOKUP(LARGE('[1]Top25NANT'!$A$5:$A$226,14),'[1]Top25NANT'!$A$5:$P$226,5,FALSE)/VLOOKUP(LARGE('[1]Top25NANT'!$A$5:$A$226,14),'[1]Top25NANT'!$A$5:$P$226,9,FALSE)*100</f>
        <v>4.10958904109589</v>
      </c>
      <c r="K16" s="14">
        <f>VLOOKUP(LARGE('[1]Top25NANT'!$A$5:$A$226,14),'[1]Top25NANT'!$A$5:$P$226,6,FALSE)/VLOOKUP(LARGE('[1]Top25NANT'!$A$5:$A$226,14),'[1]Top25NANT'!$A$5:$P$226,9,FALSE)*100</f>
        <v>26.027397260273972</v>
      </c>
      <c r="L16" s="14">
        <f>VLOOKUP(LARGE('[1]Top25NANT'!$A$5:$A$226,14),'[1]Top25NANT'!$A$5:$P$226,7,FALSE)/VLOOKUP(LARGE('[1]Top25NANT'!$A$5:$A$226,14),'[1]Top25NANT'!$A$5:$P$226,9,FALSE)*100</f>
        <v>69.86301369863014</v>
      </c>
    </row>
    <row r="17" spans="1:12" ht="11.25">
      <c r="A17" s="8" t="str">
        <f>VLOOKUP(LARGE('[1]Top25NANT'!$A$5:$C$226,15),'[1]Top25NANT'!$A$5:$C$226,3,FALSE)</f>
        <v>PERCUTANEOUS CARDIOVASCULAR PROCEDURES W AMI                                      </v>
      </c>
      <c r="B17" s="9">
        <f>VLOOKUP(LARGE('[1]Top25NANT'!$A$5:$C$226,15),'[1]Top25NANT'!$A$5:$C$226,1,FALSE)</f>
        <v>71</v>
      </c>
      <c r="C17" s="10">
        <f>VLOOKUP(LARGE('[1]Top25NANT'!$A$5:$C$226,15),'[1]Top25NANT'!$A$5:$C$226,1,FALSE)/'[1]Top25NANT'!$I$227*100</f>
        <v>1.896874165108202</v>
      </c>
      <c r="D17" s="10">
        <f>(VLOOKUP(LARGE('[1]Top25NANT'!$A$5:$C$226,15),'[1]Top25NANT'!$A$5:$C$226,1,FALSE)/'[1]Top25NANT'!$I$228*100)</f>
        <v>1.2445223488168273</v>
      </c>
      <c r="E17" s="10">
        <f>VLOOKUP(LARGE('[1]Top25NANT'!$A$5:$A$226,15),'[1]Top25NANT'!$A$5:$P$226,14,FALSE)</f>
        <v>4.1</v>
      </c>
      <c r="F17" s="11">
        <f>VLOOKUP(LARGE('[1]Top25NANT'!$A$5:$A$226,15),'[1]Top25NANT'!$A$5:$P$226,15,FALSE)</f>
        <v>46778.79</v>
      </c>
      <c r="G17" s="12">
        <f>VLOOKUP(LARGE('[1]Top25NANT'!$A$5:$A$226,15),'[1]Top25NANT'!$A$5:$P$226,10,FALSE)/VLOOKUP(LARGE('[1]Top25NANT'!$A$5:$A$226,15),'[1]Top25NANT'!$A$5:$P$226,13,FALSE)*100</f>
        <v>56.33802816901409</v>
      </c>
      <c r="H17" s="13">
        <f>VLOOKUP(LARGE('[1]Top25NANT'!$A$5:$A$226,15),'[1]Top25NANT'!$A$5:$P$226,11,FALSE)/VLOOKUP(LARGE('[1]Top25NANT'!$A$5:$A$226,15),'[1]Top25NANT'!$A$5:$P$226,13,FALSE)*100</f>
        <v>43.66197183098591</v>
      </c>
      <c r="I17" s="12">
        <f>VLOOKUP(LARGE('[1]Top25NANT'!$A$5:$A$226,15),'[1]Top25NANT'!$A$5:$P$226,4,FALSE)/VLOOKUP(LARGE('[1]Top25NANT'!$A$5:$A$226,15),'[1]Top25NANT'!$A$5:$P$226,9,FALSE)*100</f>
        <v>0</v>
      </c>
      <c r="J17" s="14">
        <f>VLOOKUP(LARGE('[1]Top25NANT'!$A$5:$A$226,15),'[1]Top25NANT'!$A$5:$P$226,5,FALSE)/VLOOKUP(LARGE('[1]Top25NANT'!$A$5:$A$226,15),'[1]Top25NANT'!$A$5:$P$226,9,FALSE)*100</f>
        <v>5.633802816901409</v>
      </c>
      <c r="K17" s="14">
        <f>VLOOKUP(LARGE('[1]Top25NANT'!$A$5:$A$226,15),'[1]Top25NANT'!$A$5:$P$226,6,FALSE)/VLOOKUP(LARGE('[1]Top25NANT'!$A$5:$A$226,15),'[1]Top25NANT'!$A$5:$P$226,9,FALSE)*100</f>
        <v>45.07042253521127</v>
      </c>
      <c r="L17" s="14">
        <f>VLOOKUP(LARGE('[1]Top25NANT'!$A$5:$A$226,15),'[1]Top25NANT'!$A$5:$P$226,7,FALSE)/VLOOKUP(LARGE('[1]Top25NANT'!$A$5:$A$226,15),'[1]Top25NANT'!$A$5:$P$226,9,FALSE)*100</f>
        <v>49.29577464788733</v>
      </c>
    </row>
    <row r="18" spans="1:12" ht="11.25">
      <c r="A18" s="8" t="str">
        <f>VLOOKUP(LARGE('[1]Top25NANT'!$A$5:$C$226,16),'[1]Top25NANT'!$A$5:$C$226,3,FALSE)</f>
        <v>KIDNEY &amp; URINARY TRACT INFECTIONS                                                 </v>
      </c>
      <c r="B18" s="9">
        <f>VLOOKUP(LARGE('[1]Top25NANT'!$A$5:$C$226,16),'[1]Top25NANT'!$A$5:$C$226,1,FALSE)</f>
        <v>58.001</v>
      </c>
      <c r="C18" s="10">
        <f>VLOOKUP(LARGE('[1]Top25NANT'!$A$5:$C$226,16),'[1]Top25NANT'!$A$5:$C$226,1,FALSE)/'[1]Top25NANT'!$I$227*100</f>
        <v>1.5495858936681806</v>
      </c>
      <c r="D18" s="10">
        <f>(VLOOKUP(LARGE('[1]Top25NANT'!$A$5:$C$226,16),'[1]Top25NANT'!$A$5:$C$226,1,FALSE)/'[1]Top25NANT'!$I$228*100)</f>
        <v>1.016669588080631</v>
      </c>
      <c r="E18" s="10">
        <f>VLOOKUP(LARGE('[1]Top25NANT'!$A$5:$A$226,16),'[1]Top25NANT'!$A$5:$P$226,14,FALSE)</f>
        <v>3.6</v>
      </c>
      <c r="F18" s="11">
        <f>VLOOKUP(LARGE('[1]Top25NANT'!$A$5:$A$226,16),'[1]Top25NANT'!$A$5:$P$226,15,FALSE)</f>
        <v>10671.46</v>
      </c>
      <c r="G18" s="12">
        <f>VLOOKUP(LARGE('[1]Top25NANT'!$A$5:$A$226,16),'[1]Top25NANT'!$A$5:$P$226,10,FALSE)/VLOOKUP(LARGE('[1]Top25NANT'!$A$5:$A$226,16),'[1]Top25NANT'!$A$5:$P$226,13,FALSE)*100</f>
        <v>24.137931034482758</v>
      </c>
      <c r="H18" s="13">
        <f>VLOOKUP(LARGE('[1]Top25NANT'!$A$5:$A$226,16),'[1]Top25NANT'!$A$5:$P$226,11,FALSE)/VLOOKUP(LARGE('[1]Top25NANT'!$A$5:$A$226,16),'[1]Top25NANT'!$A$5:$P$226,13,FALSE)*100</f>
        <v>75.86206896551724</v>
      </c>
      <c r="I18" s="12">
        <f>VLOOKUP(LARGE('[1]Top25NANT'!$A$5:$A$226,16),'[1]Top25NANT'!$A$5:$P$226,4,FALSE)/VLOOKUP(LARGE('[1]Top25NANT'!$A$5:$A$226,16),'[1]Top25NANT'!$A$5:$P$226,9,FALSE)*100</f>
        <v>13.793103448275861</v>
      </c>
      <c r="J18" s="14">
        <f>VLOOKUP(LARGE('[1]Top25NANT'!$A$5:$A$226,16),'[1]Top25NANT'!$A$5:$P$226,5,FALSE)/VLOOKUP(LARGE('[1]Top25NANT'!$A$5:$A$226,16),'[1]Top25NANT'!$A$5:$P$226,9,FALSE)*100</f>
        <v>6.896551724137931</v>
      </c>
      <c r="K18" s="14">
        <f>VLOOKUP(LARGE('[1]Top25NANT'!$A$5:$A$226,16),'[1]Top25NANT'!$A$5:$P$226,6,FALSE)/VLOOKUP(LARGE('[1]Top25NANT'!$A$5:$A$226,16),'[1]Top25NANT'!$A$5:$P$226,9,FALSE)*100</f>
        <v>13.793103448275861</v>
      </c>
      <c r="L18" s="14">
        <f>VLOOKUP(LARGE('[1]Top25NANT'!$A$5:$A$226,16),'[1]Top25NANT'!$A$5:$P$226,7,FALSE)/VLOOKUP(LARGE('[1]Top25NANT'!$A$5:$A$226,16),'[1]Top25NANT'!$A$5:$P$226,9,FALSE)*100</f>
        <v>65.51724137931035</v>
      </c>
    </row>
    <row r="19" spans="1:12" ht="11.25">
      <c r="A19" s="8" t="str">
        <f>VLOOKUP(LARGE('[1]Top25NANT'!$A$5:$C$226,17),'[1]Top25NANT'!$A$5:$C$226,3,FALSE)</f>
        <v>KIDNEY &amp; URINARY TRACT INFECTIONS                                                 </v>
      </c>
      <c r="B19" s="9">
        <f>VLOOKUP(LARGE('[1]Top25NANT'!$A$5:$C$226,17),'[1]Top25NANT'!$A$5:$C$226,1,FALSE)</f>
        <v>58.001</v>
      </c>
      <c r="C19" s="10">
        <f>VLOOKUP(LARGE('[1]Top25NANT'!$A$5:$C$226,17),'[1]Top25NANT'!$A$5:$C$226,1,FALSE)/'[1]Top25NANT'!$I$227*100</f>
        <v>1.5495858936681806</v>
      </c>
      <c r="D19" s="10">
        <f>(VLOOKUP(LARGE('[1]Top25NANT'!$A$5:$C$226,17),'[1]Top25NANT'!$A$5:$C$226,1,FALSE)/'[1]Top25NANT'!$I$228*100)</f>
        <v>1.016669588080631</v>
      </c>
      <c r="E19" s="10">
        <f>VLOOKUP(LARGE('[1]Top25NANT'!$A$5:$A$226,17),'[1]Top25NANT'!$A$5:$P$226,14,FALSE)</f>
        <v>3.6</v>
      </c>
      <c r="F19" s="11">
        <f>VLOOKUP(LARGE('[1]Top25NANT'!$A$5:$A$226,17),'[1]Top25NANT'!$A$5:$P$226,15,FALSE)</f>
        <v>10671.46</v>
      </c>
      <c r="G19" s="12">
        <f>VLOOKUP(LARGE('[1]Top25NANT'!$A$5:$A$226,17),'[1]Top25NANT'!$A$5:$P$226,10,FALSE)/VLOOKUP(LARGE('[1]Top25NANT'!$A$5:$A$226,17),'[1]Top25NANT'!$A$5:$P$226,13,FALSE)*100</f>
        <v>24.137931034482758</v>
      </c>
      <c r="H19" s="13">
        <f>VLOOKUP(LARGE('[1]Top25NANT'!$A$5:$A$226,17),'[1]Top25NANT'!$A$5:$P$226,11,FALSE)/VLOOKUP(LARGE('[1]Top25NANT'!$A$5:$A$226,17),'[1]Top25NANT'!$A$5:$P$226,13,FALSE)*100</f>
        <v>75.86206896551724</v>
      </c>
      <c r="I19" s="12">
        <f>VLOOKUP(LARGE('[1]Top25NANT'!$A$5:$A$226,17),'[1]Top25NANT'!$A$5:$P$226,4,FALSE)/VLOOKUP(LARGE('[1]Top25NANT'!$A$5:$A$226,17),'[1]Top25NANT'!$A$5:$P$226,9,FALSE)*100</f>
        <v>13.793103448275861</v>
      </c>
      <c r="J19" s="14">
        <f>VLOOKUP(LARGE('[1]Top25NANT'!$A$5:$A$226,17),'[1]Top25NANT'!$A$5:$P$226,5,FALSE)/VLOOKUP(LARGE('[1]Top25NANT'!$A$5:$A$226,17),'[1]Top25NANT'!$A$5:$P$226,9,FALSE)*100</f>
        <v>6.896551724137931</v>
      </c>
      <c r="K19" s="14">
        <f>VLOOKUP(LARGE('[1]Top25NANT'!$A$5:$A$226,17),'[1]Top25NANT'!$A$5:$P$226,6,FALSE)/VLOOKUP(LARGE('[1]Top25NANT'!$A$5:$A$226,17),'[1]Top25NANT'!$A$5:$P$226,9,FALSE)*100</f>
        <v>13.793103448275861</v>
      </c>
      <c r="L19" s="14">
        <f>VLOOKUP(LARGE('[1]Top25NANT'!$A$5:$A$226,17),'[1]Top25NANT'!$A$5:$P$226,7,FALSE)/VLOOKUP(LARGE('[1]Top25NANT'!$A$5:$A$226,17),'[1]Top25NANT'!$A$5:$P$226,9,FALSE)*100</f>
        <v>65.51724137931035</v>
      </c>
    </row>
    <row r="20" spans="1:12" ht="11.25">
      <c r="A20" s="8" t="str">
        <f>VLOOKUP(LARGE('[1]Top25NANT'!$A$5:$C$226,18),'[1]Top25NANT'!$A$5:$C$226,3,FALSE)</f>
        <v>ACUTE MYOCARDIAL INFARCTION                                                       </v>
      </c>
      <c r="B20" s="9">
        <f>VLOOKUP(LARGE('[1]Top25NANT'!$A$5:$C$226,18),'[1]Top25NANT'!$A$5:$C$226,1,FALSE)</f>
        <v>58</v>
      </c>
      <c r="C20" s="10">
        <f>VLOOKUP(LARGE('[1]Top25NANT'!$A$5:$C$226,18),'[1]Top25NANT'!$A$5:$C$226,1,FALSE)/'[1]Top25NANT'!$I$227*100</f>
        <v>1.5495591771306438</v>
      </c>
      <c r="D20" s="10">
        <f>(VLOOKUP(LARGE('[1]Top25NANT'!$A$5:$C$226,18),'[1]Top25NANT'!$A$5:$C$226,1,FALSE)/'[1]Top25NANT'!$I$228*100)</f>
        <v>1.016652059596845</v>
      </c>
      <c r="E20" s="10">
        <f>VLOOKUP(LARGE('[1]Top25NANT'!$A$5:$A$226,18),'[1]Top25NANT'!$A$5:$P$226,14,FALSE)</f>
        <v>3.5</v>
      </c>
      <c r="F20" s="11">
        <f>VLOOKUP(LARGE('[1]Top25NANT'!$A$5:$A$226,18),'[1]Top25NANT'!$A$5:$P$226,15,FALSE)</f>
        <v>20564.9</v>
      </c>
      <c r="G20" s="12">
        <f>VLOOKUP(LARGE('[1]Top25NANT'!$A$5:$A$226,18),'[1]Top25NANT'!$A$5:$P$226,10,FALSE)/VLOOKUP(LARGE('[1]Top25NANT'!$A$5:$A$226,18),'[1]Top25NANT'!$A$5:$P$226,13,FALSE)*100</f>
        <v>53.44827586206896</v>
      </c>
      <c r="H20" s="13">
        <f>VLOOKUP(LARGE('[1]Top25NANT'!$A$5:$A$226,18),'[1]Top25NANT'!$A$5:$P$226,11,FALSE)/VLOOKUP(LARGE('[1]Top25NANT'!$A$5:$A$226,18),'[1]Top25NANT'!$A$5:$P$226,13,FALSE)*100</f>
        <v>46.55172413793103</v>
      </c>
      <c r="I20" s="12">
        <f>VLOOKUP(LARGE('[1]Top25NANT'!$A$5:$A$226,18),'[1]Top25NANT'!$A$5:$P$226,4,FALSE)/VLOOKUP(LARGE('[1]Top25NANT'!$A$5:$A$226,18),'[1]Top25NANT'!$A$5:$P$226,9,FALSE)*100</f>
        <v>0</v>
      </c>
      <c r="J20" s="14">
        <f>VLOOKUP(LARGE('[1]Top25NANT'!$A$5:$A$226,18),'[1]Top25NANT'!$A$5:$P$226,5,FALSE)/VLOOKUP(LARGE('[1]Top25NANT'!$A$5:$A$226,18),'[1]Top25NANT'!$A$5:$P$226,9,FALSE)*100</f>
        <v>6.896551724137931</v>
      </c>
      <c r="K20" s="14">
        <f>VLOOKUP(LARGE('[1]Top25NANT'!$A$5:$A$226,18),'[1]Top25NANT'!$A$5:$P$226,6,FALSE)/VLOOKUP(LARGE('[1]Top25NANT'!$A$5:$A$226,18),'[1]Top25NANT'!$A$5:$P$226,9,FALSE)*100</f>
        <v>18.96551724137931</v>
      </c>
      <c r="L20" s="14">
        <f>VLOOKUP(LARGE('[1]Top25NANT'!$A$5:$A$226,18),'[1]Top25NANT'!$A$5:$P$226,7,FALSE)/VLOOKUP(LARGE('[1]Top25NANT'!$A$5:$A$226,18),'[1]Top25NANT'!$A$5:$P$226,9,FALSE)*100</f>
        <v>74.13793103448276</v>
      </c>
    </row>
    <row r="21" spans="1:12" ht="11.25">
      <c r="A21" s="8" t="str">
        <f>VLOOKUP(LARGE('[1]Top25NANT'!$A$5:$C$226,19),'[1]Top25NANT'!$A$5:$C$226,3,FALSE)</f>
        <v>PERIPHERAL &amp; OTHER VASCULAR DISORDERS                                             </v>
      </c>
      <c r="B21" s="9">
        <f>VLOOKUP(LARGE('[1]Top25NANT'!$A$5:$C$226,19),'[1]Top25NANT'!$A$5:$C$226,1,FALSE)</f>
        <v>55</v>
      </c>
      <c r="C21" s="10">
        <f>VLOOKUP(LARGE('[1]Top25NANT'!$A$5:$C$226,19),'[1]Top25NANT'!$A$5:$C$226,1,FALSE)/'[1]Top25NANT'!$I$227*100</f>
        <v>1.4694095645204381</v>
      </c>
      <c r="D21" s="10">
        <f>(VLOOKUP(LARGE('[1]Top25NANT'!$A$5:$C$226,19),'[1]Top25NANT'!$A$5:$C$226,1,FALSE)/'[1]Top25NANT'!$I$228*100)</f>
        <v>0.9640666082383873</v>
      </c>
      <c r="E21" s="10">
        <f>VLOOKUP(LARGE('[1]Top25NANT'!$A$5:$A$226,19),'[1]Top25NANT'!$A$5:$P$226,14,FALSE)</f>
        <v>3.3</v>
      </c>
      <c r="F21" s="11">
        <f>VLOOKUP(LARGE('[1]Top25NANT'!$A$5:$A$226,19),'[1]Top25NANT'!$A$5:$P$226,15,FALSE)</f>
        <v>10298.79</v>
      </c>
      <c r="G21" s="12">
        <f>VLOOKUP(LARGE('[1]Top25NANT'!$A$5:$A$226,19),'[1]Top25NANT'!$A$5:$P$226,10,FALSE)/VLOOKUP(LARGE('[1]Top25NANT'!$A$5:$A$226,19),'[1]Top25NANT'!$A$5:$P$226,13,FALSE)*100</f>
        <v>47.27272727272727</v>
      </c>
      <c r="H21" s="13">
        <f>VLOOKUP(LARGE('[1]Top25NANT'!$A$5:$A$226,19),'[1]Top25NANT'!$A$5:$P$226,11,FALSE)/VLOOKUP(LARGE('[1]Top25NANT'!$A$5:$A$226,19),'[1]Top25NANT'!$A$5:$P$226,13,FALSE)*100</f>
        <v>52.72727272727272</v>
      </c>
      <c r="I21" s="12">
        <f>VLOOKUP(LARGE('[1]Top25NANT'!$A$5:$A$226,19),'[1]Top25NANT'!$A$5:$P$226,4,FALSE)/VLOOKUP(LARGE('[1]Top25NANT'!$A$5:$A$226,19),'[1]Top25NANT'!$A$5:$P$226,9,FALSE)*100</f>
        <v>0</v>
      </c>
      <c r="J21" s="14">
        <f>VLOOKUP(LARGE('[1]Top25NANT'!$A$5:$A$226,19),'[1]Top25NANT'!$A$5:$P$226,5,FALSE)/VLOOKUP(LARGE('[1]Top25NANT'!$A$5:$A$226,19),'[1]Top25NANT'!$A$5:$P$226,9,FALSE)*100</f>
        <v>23.636363636363637</v>
      </c>
      <c r="K21" s="14">
        <f>VLOOKUP(LARGE('[1]Top25NANT'!$A$5:$A$226,19),'[1]Top25NANT'!$A$5:$P$226,6,FALSE)/VLOOKUP(LARGE('[1]Top25NANT'!$A$5:$A$226,19),'[1]Top25NANT'!$A$5:$P$226,9,FALSE)*100</f>
        <v>29.09090909090909</v>
      </c>
      <c r="L21" s="14">
        <f>VLOOKUP(LARGE('[1]Top25NANT'!$A$5:$A$226,19),'[1]Top25NANT'!$A$5:$P$226,7,FALSE)/VLOOKUP(LARGE('[1]Top25NANT'!$A$5:$A$226,19),'[1]Top25NANT'!$A$5:$P$226,9,FALSE)*100</f>
        <v>47.27272727272727</v>
      </c>
    </row>
    <row r="22" spans="1:12" ht="11.25">
      <c r="A22" s="8" t="str">
        <f>VLOOKUP(LARGE('[1]Top25NANT'!$A$5:$C$226,20),'[1]Top25NANT'!$A$5:$C$226,3,FALSE)</f>
        <v>OTHER ANEMIA &amp; DISORDERS OF BLOOD &amp; BLOOD-FORMING ORGANS                          </v>
      </c>
      <c r="B22" s="9">
        <f>VLOOKUP(LARGE('[1]Top25NANT'!$A$5:$C$226,20),'[1]Top25NANT'!$A$5:$C$226,1,FALSE)</f>
        <v>51.001</v>
      </c>
      <c r="C22" s="10">
        <f>VLOOKUP(LARGE('[1]Top25NANT'!$A$5:$C$226,20),'[1]Top25NANT'!$A$5:$C$226,1,FALSE)/'[1]Top25NANT'!$I$227*100</f>
        <v>1.3625701309110338</v>
      </c>
      <c r="D22" s="10">
        <f>(VLOOKUP(LARGE('[1]Top25NANT'!$A$5:$C$226,20),'[1]Top25NANT'!$A$5:$C$226,1,FALSE)/'[1]Top25NANT'!$I$228*100)</f>
        <v>0.8939702015775635</v>
      </c>
      <c r="E22" s="10">
        <f>VLOOKUP(LARGE('[1]Top25NANT'!$A$5:$A$226,20),'[1]Top25NANT'!$A$5:$P$226,14,FALSE)</f>
        <v>2.9</v>
      </c>
      <c r="F22" s="11">
        <f>VLOOKUP(LARGE('[1]Top25NANT'!$A$5:$A$226,20),'[1]Top25NANT'!$A$5:$P$226,15,FALSE)</f>
        <v>12390.3</v>
      </c>
      <c r="G22" s="12">
        <f>VLOOKUP(LARGE('[1]Top25NANT'!$A$5:$A$226,20),'[1]Top25NANT'!$A$5:$P$226,10,FALSE)/VLOOKUP(LARGE('[1]Top25NANT'!$A$5:$A$226,20),'[1]Top25NANT'!$A$5:$P$226,13,FALSE)*100</f>
        <v>54.90196078431373</v>
      </c>
      <c r="H22" s="13">
        <f>VLOOKUP(LARGE('[1]Top25NANT'!$A$5:$A$226,20),'[1]Top25NANT'!$A$5:$P$226,11,FALSE)/VLOOKUP(LARGE('[1]Top25NANT'!$A$5:$A$226,20),'[1]Top25NANT'!$A$5:$P$226,13,FALSE)*100</f>
        <v>45.09803921568628</v>
      </c>
      <c r="I22" s="12">
        <f>VLOOKUP(LARGE('[1]Top25NANT'!$A$5:$A$226,20),'[1]Top25NANT'!$A$5:$P$226,4,FALSE)/VLOOKUP(LARGE('[1]Top25NANT'!$A$5:$A$226,20),'[1]Top25NANT'!$A$5:$P$226,9,FALSE)*100</f>
        <v>1.9607843137254901</v>
      </c>
      <c r="J22" s="14">
        <f>VLOOKUP(LARGE('[1]Top25NANT'!$A$5:$A$226,20),'[1]Top25NANT'!$A$5:$P$226,5,FALSE)/VLOOKUP(LARGE('[1]Top25NANT'!$A$5:$A$226,20),'[1]Top25NANT'!$A$5:$P$226,9,FALSE)*100</f>
        <v>5.88235294117647</v>
      </c>
      <c r="K22" s="14">
        <f>VLOOKUP(LARGE('[1]Top25NANT'!$A$5:$A$226,20),'[1]Top25NANT'!$A$5:$P$226,6,FALSE)/VLOOKUP(LARGE('[1]Top25NANT'!$A$5:$A$226,20),'[1]Top25NANT'!$A$5:$P$226,9,FALSE)*100</f>
        <v>27.450980392156865</v>
      </c>
      <c r="L22" s="14">
        <f>VLOOKUP(LARGE('[1]Top25NANT'!$A$5:$A$226,20),'[1]Top25NANT'!$A$5:$P$226,7,FALSE)/VLOOKUP(LARGE('[1]Top25NANT'!$A$5:$A$226,20),'[1]Top25NANT'!$A$5:$P$226,9,FALSE)*100</f>
        <v>64.70588235294117</v>
      </c>
    </row>
    <row r="23" spans="1:12" ht="11.25">
      <c r="A23" s="8" t="str">
        <f>VLOOKUP(LARGE('[1]Top25NANT'!$A$5:$C$226,21),'[1]Top25NANT'!$A$5:$C$226,3,FALSE)</f>
        <v>NON-BACTERIAL GASTROENTERITIS, NAUSEA &amp; VOMITING                                  </v>
      </c>
      <c r="B23" s="9">
        <f>VLOOKUP(LARGE('[1]Top25NANT'!$A$5:$C$226,21),'[1]Top25NANT'!$A$5:$C$226,1,FALSE)</f>
        <v>51</v>
      </c>
      <c r="C23" s="10">
        <f>VLOOKUP(LARGE('[1]Top25NANT'!$A$5:$C$226,21),'[1]Top25NANT'!$A$5:$C$226,1,FALSE)/'[1]Top25NANT'!$I$227*100</f>
        <v>1.3625434143734971</v>
      </c>
      <c r="D23" s="10">
        <f>(VLOOKUP(LARGE('[1]Top25NANT'!$A$5:$C$226,21),'[1]Top25NANT'!$A$5:$C$226,1,FALSE)/'[1]Top25NANT'!$I$228*100)</f>
        <v>0.8939526730937774</v>
      </c>
      <c r="E23" s="10">
        <f>VLOOKUP(LARGE('[1]Top25NANT'!$A$5:$A$226,21),'[1]Top25NANT'!$A$5:$P$226,14,FALSE)</f>
        <v>3.1</v>
      </c>
      <c r="F23" s="11">
        <f>VLOOKUP(LARGE('[1]Top25NANT'!$A$5:$A$226,21),'[1]Top25NANT'!$A$5:$P$226,15,FALSE)</f>
        <v>12634.31</v>
      </c>
      <c r="G23" s="12">
        <f>VLOOKUP(LARGE('[1]Top25NANT'!$A$5:$A$226,21),'[1]Top25NANT'!$A$5:$P$226,10,FALSE)/VLOOKUP(LARGE('[1]Top25NANT'!$A$5:$A$226,21),'[1]Top25NANT'!$A$5:$P$226,13,FALSE)*100</f>
        <v>41.17647058823529</v>
      </c>
      <c r="H23" s="13">
        <f>VLOOKUP(LARGE('[1]Top25NANT'!$A$5:$A$226,21),'[1]Top25NANT'!$A$5:$P$226,11,FALSE)/VLOOKUP(LARGE('[1]Top25NANT'!$A$5:$A$226,21),'[1]Top25NANT'!$A$5:$P$226,13,FALSE)*100</f>
        <v>58.82352941176471</v>
      </c>
      <c r="I23" s="12">
        <f>VLOOKUP(LARGE('[1]Top25NANT'!$A$5:$A$226,21),'[1]Top25NANT'!$A$5:$P$226,4,FALSE)/VLOOKUP(LARGE('[1]Top25NANT'!$A$5:$A$226,21),'[1]Top25NANT'!$A$5:$P$226,9,FALSE)*100</f>
        <v>7.8431372549019605</v>
      </c>
      <c r="J23" s="14">
        <f>VLOOKUP(LARGE('[1]Top25NANT'!$A$5:$A$226,21),'[1]Top25NANT'!$A$5:$P$226,5,FALSE)/VLOOKUP(LARGE('[1]Top25NANT'!$A$5:$A$226,21),'[1]Top25NANT'!$A$5:$P$226,9,FALSE)*100</f>
        <v>21.568627450980394</v>
      </c>
      <c r="K23" s="14">
        <f>VLOOKUP(LARGE('[1]Top25NANT'!$A$5:$A$226,21),'[1]Top25NANT'!$A$5:$P$226,6,FALSE)/VLOOKUP(LARGE('[1]Top25NANT'!$A$5:$A$226,21),'[1]Top25NANT'!$A$5:$P$226,9,FALSE)*100</f>
        <v>39.21568627450981</v>
      </c>
      <c r="L23" s="14">
        <f>VLOOKUP(LARGE('[1]Top25NANT'!$A$5:$A$226,21),'[1]Top25NANT'!$A$5:$P$226,7,FALSE)/VLOOKUP(LARGE('[1]Top25NANT'!$A$5:$A$226,21),'[1]Top25NANT'!$A$5:$P$226,9,FALSE)*100</f>
        <v>31.372549019607842</v>
      </c>
    </row>
    <row r="24" spans="1:12" ht="11.25">
      <c r="A24" s="8" t="str">
        <f>VLOOKUP(LARGE('[1]Top25NANT'!$A$5:$C$226,22),'[1]Top25NANT'!$A$5:$C$226,3,FALSE)</f>
        <v>MAJOR SMALL &amp; LARGE BOWEL PROCEDURES                                              </v>
      </c>
      <c r="B24" s="9">
        <f>VLOOKUP(LARGE('[1]Top25NANT'!$A$5:$C$226,22),'[1]Top25NANT'!$A$5:$C$226,1,FALSE)</f>
        <v>50</v>
      </c>
      <c r="C24" s="10">
        <f>VLOOKUP(LARGE('[1]Top25NANT'!$A$5:$C$226,22),'[1]Top25NANT'!$A$5:$C$226,1,FALSE)/'[1]Top25NANT'!$I$227*100</f>
        <v>1.3358268768367618</v>
      </c>
      <c r="D24" s="10">
        <f>(VLOOKUP(LARGE('[1]Top25NANT'!$A$5:$C$226,22),'[1]Top25NANT'!$A$5:$C$226,1,FALSE)/'[1]Top25NANT'!$I$228*100)</f>
        <v>0.8764241893076249</v>
      </c>
      <c r="E24" s="10">
        <f>VLOOKUP(LARGE('[1]Top25NANT'!$A$5:$A$226,22),'[1]Top25NANT'!$A$5:$P$226,14,FALSE)</f>
        <v>9.5</v>
      </c>
      <c r="F24" s="11">
        <f>VLOOKUP(LARGE('[1]Top25NANT'!$A$5:$A$226,22),'[1]Top25NANT'!$A$5:$P$226,15,FALSE)</f>
        <v>55178.75</v>
      </c>
      <c r="G24" s="12">
        <f>VLOOKUP(LARGE('[1]Top25NANT'!$A$5:$A$226,22),'[1]Top25NANT'!$A$5:$P$226,10,FALSE)/VLOOKUP(LARGE('[1]Top25NANT'!$A$5:$A$226,22),'[1]Top25NANT'!$A$5:$P$226,13,FALSE)*100</f>
        <v>44</v>
      </c>
      <c r="H24" s="13">
        <f>VLOOKUP(LARGE('[1]Top25NANT'!$A$5:$A$226,22),'[1]Top25NANT'!$A$5:$P$226,11,FALSE)/VLOOKUP(LARGE('[1]Top25NANT'!$A$5:$A$226,22),'[1]Top25NANT'!$A$5:$P$226,13,FALSE)*100</f>
        <v>56.00000000000001</v>
      </c>
      <c r="I24" s="12">
        <f>VLOOKUP(LARGE('[1]Top25NANT'!$A$5:$A$226,22),'[1]Top25NANT'!$A$5:$P$226,4,FALSE)/VLOOKUP(LARGE('[1]Top25NANT'!$A$5:$A$226,22),'[1]Top25NANT'!$A$5:$P$226,9,FALSE)*100</f>
        <v>4</v>
      </c>
      <c r="J24" s="14">
        <f>VLOOKUP(LARGE('[1]Top25NANT'!$A$5:$A$226,22),'[1]Top25NANT'!$A$5:$P$226,5,FALSE)/VLOOKUP(LARGE('[1]Top25NANT'!$A$5:$A$226,22),'[1]Top25NANT'!$A$5:$P$226,9,FALSE)*100</f>
        <v>6</v>
      </c>
      <c r="K24" s="14">
        <f>VLOOKUP(LARGE('[1]Top25NANT'!$A$5:$A$226,22),'[1]Top25NANT'!$A$5:$P$226,6,FALSE)/VLOOKUP(LARGE('[1]Top25NANT'!$A$5:$A$226,22),'[1]Top25NANT'!$A$5:$P$226,9,FALSE)*100</f>
        <v>38</v>
      </c>
      <c r="L24" s="14">
        <f>VLOOKUP(LARGE('[1]Top25NANT'!$A$5:$A$226,22),'[1]Top25NANT'!$A$5:$P$226,7,FALSE)/VLOOKUP(LARGE('[1]Top25NANT'!$A$5:$A$226,22),'[1]Top25NANT'!$A$5:$P$226,9,FALSE)*100</f>
        <v>52</v>
      </c>
    </row>
    <row r="25" spans="1:12" ht="11.25">
      <c r="A25" s="8" t="str">
        <f>VLOOKUP(LARGE('[1]Top25NANT'!$A$5:$C$226,23),'[1]Top25NANT'!$A$5:$C$226,3,FALSE)</f>
        <v>DIABETES                                                                          </v>
      </c>
      <c r="B25" s="9">
        <f>VLOOKUP(LARGE('[1]Top25NANT'!$A$5:$C$226,23),'[1]Top25NANT'!$A$5:$C$226,1,FALSE)</f>
        <v>48</v>
      </c>
      <c r="C25" s="10">
        <f>VLOOKUP(LARGE('[1]Top25NANT'!$A$5:$C$226,23),'[1]Top25NANT'!$A$5:$C$226,1,FALSE)/'[1]Top25NANT'!$I$227*100</f>
        <v>1.2823938017632914</v>
      </c>
      <c r="D25" s="10">
        <f>(VLOOKUP(LARGE('[1]Top25NANT'!$A$5:$C$226,23),'[1]Top25NANT'!$A$5:$C$226,1,FALSE)/'[1]Top25NANT'!$I$228*100)</f>
        <v>0.8413672217353199</v>
      </c>
      <c r="E25" s="10">
        <f>VLOOKUP(LARGE('[1]Top25NANT'!$A$5:$A$226,23),'[1]Top25NANT'!$A$5:$P$226,14,FALSE)</f>
        <v>3.1</v>
      </c>
      <c r="F25" s="11">
        <f>VLOOKUP(LARGE('[1]Top25NANT'!$A$5:$A$226,23),'[1]Top25NANT'!$A$5:$P$226,15,FALSE)</f>
        <v>11574.58</v>
      </c>
      <c r="G25" s="12">
        <f>VLOOKUP(LARGE('[1]Top25NANT'!$A$5:$A$226,23),'[1]Top25NANT'!$A$5:$P$226,10,FALSE)/VLOOKUP(LARGE('[1]Top25NANT'!$A$5:$A$226,23),'[1]Top25NANT'!$A$5:$P$226,13,FALSE)*100</f>
        <v>56.25</v>
      </c>
      <c r="H25" s="13">
        <f>VLOOKUP(LARGE('[1]Top25NANT'!$A$5:$A$226,23),'[1]Top25NANT'!$A$5:$P$226,11,FALSE)/VLOOKUP(LARGE('[1]Top25NANT'!$A$5:$A$226,23),'[1]Top25NANT'!$A$5:$P$226,13,FALSE)*100</f>
        <v>43.75</v>
      </c>
      <c r="I25" s="12">
        <f>VLOOKUP(LARGE('[1]Top25NANT'!$A$5:$A$226,23),'[1]Top25NANT'!$A$5:$P$226,4,FALSE)/VLOOKUP(LARGE('[1]Top25NANT'!$A$5:$A$226,23),'[1]Top25NANT'!$A$5:$P$226,9,FALSE)*100</f>
        <v>0</v>
      </c>
      <c r="J25" s="14">
        <f>VLOOKUP(LARGE('[1]Top25NANT'!$A$5:$A$226,23),'[1]Top25NANT'!$A$5:$P$226,5,FALSE)/VLOOKUP(LARGE('[1]Top25NANT'!$A$5:$A$226,23),'[1]Top25NANT'!$A$5:$P$226,9,FALSE)*100</f>
        <v>45.83333333333333</v>
      </c>
      <c r="K25" s="14">
        <f>VLOOKUP(LARGE('[1]Top25NANT'!$A$5:$A$226,23),'[1]Top25NANT'!$A$5:$P$226,6,FALSE)/VLOOKUP(LARGE('[1]Top25NANT'!$A$5:$A$226,23),'[1]Top25NANT'!$A$5:$P$226,9,FALSE)*100</f>
        <v>27.083333333333332</v>
      </c>
      <c r="L25" s="14">
        <f>VLOOKUP(LARGE('[1]Top25NANT'!$A$5:$A$226,23),'[1]Top25NANT'!$A$5:$P$226,7,FALSE)/VLOOKUP(LARGE('[1]Top25NANT'!$A$5:$A$226,23),'[1]Top25NANT'!$A$5:$P$226,9,FALSE)*100</f>
        <v>27.083333333333332</v>
      </c>
    </row>
    <row r="26" spans="1:12" ht="11.25">
      <c r="A26" s="8" t="str">
        <f>VLOOKUP(LARGE('[1]Top25NANT'!$A$5:$C$226,24),'[1]Top25NANT'!$A$5:$C$226,3,FALSE)</f>
        <v>CARDIAC CATHETERIZATION FOR ISCHEMIC HEART DISEASE                                </v>
      </c>
      <c r="B26" s="9">
        <f>VLOOKUP(LARGE('[1]Top25NANT'!$A$5:$C$226,24),'[1]Top25NANT'!$A$5:$C$226,1,FALSE)</f>
        <v>47</v>
      </c>
      <c r="C26" s="10">
        <f>VLOOKUP(LARGE('[1]Top25NANT'!$A$5:$C$226,24),'[1]Top25NANT'!$A$5:$C$226,1,FALSE)/'[1]Top25NANT'!$I$227*100</f>
        <v>1.2556772642265563</v>
      </c>
      <c r="D26" s="10">
        <f>(VLOOKUP(LARGE('[1]Top25NANT'!$A$5:$C$226,24),'[1]Top25NANT'!$A$5:$C$226,1,FALSE)/'[1]Top25NANT'!$I$228*100)</f>
        <v>0.8238387379491674</v>
      </c>
      <c r="E26" s="10">
        <f>VLOOKUP(LARGE('[1]Top25NANT'!$A$5:$A$226,24),'[1]Top25NANT'!$A$5:$P$226,14,FALSE)</f>
        <v>2.7</v>
      </c>
      <c r="F26" s="11">
        <f>VLOOKUP(LARGE('[1]Top25NANT'!$A$5:$A$226,24),'[1]Top25NANT'!$A$5:$P$226,15,FALSE)</f>
        <v>21033.38</v>
      </c>
      <c r="G26" s="12">
        <f>VLOOKUP(LARGE('[1]Top25NANT'!$A$5:$A$226,24),'[1]Top25NANT'!$A$5:$P$226,10,FALSE)/VLOOKUP(LARGE('[1]Top25NANT'!$A$5:$A$226,24),'[1]Top25NANT'!$A$5:$P$226,13,FALSE)*100</f>
        <v>38.297872340425535</v>
      </c>
      <c r="H26" s="13">
        <f>VLOOKUP(LARGE('[1]Top25NANT'!$A$5:$A$226,24),'[1]Top25NANT'!$A$5:$P$226,11,FALSE)/VLOOKUP(LARGE('[1]Top25NANT'!$A$5:$A$226,24),'[1]Top25NANT'!$A$5:$P$226,13,FALSE)*100</f>
        <v>61.702127659574465</v>
      </c>
      <c r="I26" s="12">
        <f>VLOOKUP(LARGE('[1]Top25NANT'!$A$5:$A$226,24),'[1]Top25NANT'!$A$5:$P$226,4,FALSE)/VLOOKUP(LARGE('[1]Top25NANT'!$A$5:$A$226,24),'[1]Top25NANT'!$A$5:$P$226,9,FALSE)*100</f>
        <v>0</v>
      </c>
      <c r="J26" s="14">
        <f>VLOOKUP(LARGE('[1]Top25NANT'!$A$5:$A$226,24),'[1]Top25NANT'!$A$5:$P$226,5,FALSE)/VLOOKUP(LARGE('[1]Top25NANT'!$A$5:$A$226,24),'[1]Top25NANT'!$A$5:$P$226,9,FALSE)*100</f>
        <v>12.76595744680851</v>
      </c>
      <c r="K26" s="14">
        <f>VLOOKUP(LARGE('[1]Top25NANT'!$A$5:$A$226,24),'[1]Top25NANT'!$A$5:$P$226,6,FALSE)/VLOOKUP(LARGE('[1]Top25NANT'!$A$5:$A$226,24),'[1]Top25NANT'!$A$5:$P$226,9,FALSE)*100</f>
        <v>53.191489361702125</v>
      </c>
      <c r="L26" s="14">
        <f>VLOOKUP(LARGE('[1]Top25NANT'!$A$5:$A$226,24),'[1]Top25NANT'!$A$5:$P$226,7,FALSE)/VLOOKUP(LARGE('[1]Top25NANT'!$A$5:$A$226,24),'[1]Top25NANT'!$A$5:$P$226,9,FALSE)*100</f>
        <v>34.04255319148936</v>
      </c>
    </row>
    <row r="27" spans="1:12" ht="12" thickBot="1">
      <c r="A27" s="15" t="str">
        <f>VLOOKUP(LARGE('[1]Top25NANT'!$A$5:$C$226,25),'[1]Top25NANT'!$A$5:$C$226,3,FALSE)</f>
        <v>POISONING OF MEDICINAL AGENTS                                                     </v>
      </c>
      <c r="B27" s="16">
        <f>VLOOKUP(LARGE('[1]Top25NANT'!$A$5:$C$226,25),'[1]Top25NANT'!$A$5:$C$226,1,FALSE)</f>
        <v>44.001</v>
      </c>
      <c r="C27" s="17">
        <f>VLOOKUP(LARGE('[1]Top25NANT'!$A$5:$C$226,25),'[1]Top25NANT'!$A$5:$C$226,1,FALSE)/'[1]Top25NANT'!$I$227*100</f>
        <v>1.1755543681538871</v>
      </c>
      <c r="D27" s="17">
        <f>(VLOOKUP(LARGE('[1]Top25NANT'!$A$5:$C$226,25),'[1]Top25NANT'!$A$5:$C$226,1,FALSE)/'[1]Top25NANT'!$I$228*100)</f>
        <v>0.771270815074496</v>
      </c>
      <c r="E27" s="17">
        <f>VLOOKUP(LARGE('[1]Top25NANT'!$A$5:$A$226,25),'[1]Top25NANT'!$A$5:$P$226,14,FALSE)</f>
        <v>3</v>
      </c>
      <c r="F27" s="18">
        <f>VLOOKUP(LARGE('[1]Top25NANT'!$A$5:$A$226,25),'[1]Top25NANT'!$A$5:$P$226,15,FALSE)</f>
        <v>16280.35</v>
      </c>
      <c r="G27" s="19">
        <f>VLOOKUP(LARGE('[1]Top25NANT'!$A$5:$A$226,25),'[1]Top25NANT'!$A$5:$P$226,10,FALSE)/VLOOKUP(LARGE('[1]Top25NANT'!$A$5:$A$226,25),'[1]Top25NANT'!$A$5:$P$226,13,FALSE)*100</f>
        <v>40.909090909090914</v>
      </c>
      <c r="H27" s="20">
        <f>VLOOKUP(LARGE('[1]Top25NANT'!$A$5:$A$226,25),'[1]Top25NANT'!$A$5:$P$226,11,FALSE)/VLOOKUP(LARGE('[1]Top25NANT'!$A$5:$A$226,25),'[1]Top25NANT'!$A$5:$P$226,13,FALSE)*100</f>
        <v>59.09090909090909</v>
      </c>
      <c r="I27" s="19">
        <f>VLOOKUP(LARGE('[1]Top25NANT'!$A$5:$A$226,25),'[1]Top25NANT'!$A$5:$P$226,4,FALSE)/VLOOKUP(LARGE('[1]Top25NANT'!$A$5:$A$226,25),'[1]Top25NANT'!$A$5:$P$226,9,FALSE)*100</f>
        <v>0</v>
      </c>
      <c r="J27" s="21">
        <f>VLOOKUP(LARGE('[1]Top25NANT'!$A$5:$A$226,25),'[1]Top25NANT'!$A$5:$P$226,5,FALSE)/VLOOKUP(LARGE('[1]Top25NANT'!$A$5:$A$226,25),'[1]Top25NANT'!$A$5:$P$226,9,FALSE)*100</f>
        <v>45.45454545454545</v>
      </c>
      <c r="K27" s="21">
        <f>VLOOKUP(LARGE('[1]Top25NANT'!$A$5:$A$226,25),'[1]Top25NANT'!$A$5:$P$226,6,FALSE)/VLOOKUP(LARGE('[1]Top25NANT'!$A$5:$A$226,25),'[1]Top25NANT'!$A$5:$P$226,9,FALSE)*100</f>
        <v>38.63636363636363</v>
      </c>
      <c r="L27" s="21">
        <f>VLOOKUP(LARGE('[1]Top25NANT'!$A$5:$A$226,25),'[1]Top25NANT'!$A$5:$P$226,7,FALSE)/VLOOKUP(LARGE('[1]Top25NANT'!$A$5:$A$226,25),'[1]Top25NANT'!$A$5:$P$226,9,FALSE)*100</f>
        <v>15.909090909090908</v>
      </c>
    </row>
    <row r="28" spans="3:10" ht="11.25">
      <c r="C28" s="22"/>
      <c r="D28" s="22"/>
      <c r="E28" s="22"/>
      <c r="F28" s="23"/>
      <c r="G28" s="22"/>
      <c r="H28" s="22"/>
      <c r="I28" s="22"/>
      <c r="J28" s="22"/>
    </row>
    <row r="32" spans="1:12" ht="11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1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1.25">
      <c r="A35" s="8"/>
      <c r="B35" s="8"/>
      <c r="C35" s="14"/>
      <c r="D35" s="14"/>
      <c r="E35" s="14"/>
      <c r="F35" s="27"/>
      <c r="G35" s="14"/>
      <c r="H35" s="14"/>
      <c r="I35" s="14"/>
      <c r="J35" s="14"/>
      <c r="K35" s="14"/>
      <c r="L35" s="14"/>
    </row>
    <row r="36" spans="1:12" ht="11.25">
      <c r="A36" s="8"/>
      <c r="B36" s="8"/>
      <c r="C36" s="14"/>
      <c r="D36" s="14"/>
      <c r="E36" s="14"/>
      <c r="F36" s="27"/>
      <c r="G36" s="14"/>
      <c r="H36" s="14"/>
      <c r="I36" s="14"/>
      <c r="J36" s="14"/>
      <c r="K36" s="14"/>
      <c r="L36" s="14"/>
    </row>
    <row r="37" spans="1:12" ht="11.25">
      <c r="A37" s="8"/>
      <c r="B37" s="8"/>
      <c r="C37" s="14"/>
      <c r="D37" s="14"/>
      <c r="E37" s="14"/>
      <c r="F37" s="27"/>
      <c r="G37" s="14"/>
      <c r="H37" s="14"/>
      <c r="I37" s="14"/>
      <c r="J37" s="14"/>
      <c r="K37" s="14"/>
      <c r="L37" s="14"/>
    </row>
    <row r="38" spans="1:12" ht="11.25">
      <c r="A38" s="8"/>
      <c r="B38" s="8"/>
      <c r="C38" s="14"/>
      <c r="D38" s="14"/>
      <c r="E38" s="14"/>
      <c r="F38" s="27"/>
      <c r="G38" s="14"/>
      <c r="H38" s="14"/>
      <c r="I38" s="14"/>
      <c r="J38" s="14"/>
      <c r="K38" s="14"/>
      <c r="L38" s="14"/>
    </row>
    <row r="39" spans="1:12" ht="11.25">
      <c r="A39" s="8"/>
      <c r="B39" s="8"/>
      <c r="C39" s="14"/>
      <c r="D39" s="14"/>
      <c r="E39" s="14"/>
      <c r="F39" s="27"/>
      <c r="G39" s="14"/>
      <c r="H39" s="14"/>
      <c r="I39" s="14"/>
      <c r="J39" s="14"/>
      <c r="K39" s="14"/>
      <c r="L39" s="14"/>
    </row>
    <row r="40" spans="1:12" ht="11.25">
      <c r="A40" s="8"/>
      <c r="B40" s="8"/>
      <c r="C40" s="14"/>
      <c r="D40" s="14"/>
      <c r="E40" s="14"/>
      <c r="F40" s="27"/>
      <c r="G40" s="14"/>
      <c r="H40" s="14"/>
      <c r="I40" s="14"/>
      <c r="J40" s="14"/>
      <c r="K40" s="14"/>
      <c r="L40" s="14"/>
    </row>
    <row r="41" spans="1:12" ht="11.25">
      <c r="A41" s="8"/>
      <c r="B41" s="8"/>
      <c r="C41" s="14"/>
      <c r="D41" s="14"/>
      <c r="E41" s="14"/>
      <c r="F41" s="27"/>
      <c r="G41" s="14"/>
      <c r="H41" s="14"/>
      <c r="I41" s="14"/>
      <c r="J41" s="14"/>
      <c r="K41" s="14"/>
      <c r="L41" s="14"/>
    </row>
    <row r="42" spans="1:12" ht="11.25">
      <c r="A42" s="8"/>
      <c r="B42" s="8"/>
      <c r="C42" s="14"/>
      <c r="D42" s="14"/>
      <c r="E42" s="14"/>
      <c r="F42" s="27"/>
      <c r="G42" s="14"/>
      <c r="H42" s="14"/>
      <c r="I42" s="14"/>
      <c r="J42" s="14"/>
      <c r="K42" s="14"/>
      <c r="L42" s="14"/>
    </row>
    <row r="43" spans="1:12" ht="11.25">
      <c r="A43" s="8"/>
      <c r="B43" s="8"/>
      <c r="C43" s="14"/>
      <c r="D43" s="14"/>
      <c r="E43" s="14"/>
      <c r="F43" s="27"/>
      <c r="G43" s="14"/>
      <c r="H43" s="14"/>
      <c r="I43" s="14"/>
      <c r="J43" s="14"/>
      <c r="K43" s="14"/>
      <c r="L43" s="14"/>
    </row>
    <row r="44" spans="1:12" ht="11.25">
      <c r="A44" s="8"/>
      <c r="B44" s="8"/>
      <c r="C44" s="14"/>
      <c r="D44" s="14"/>
      <c r="E44" s="14"/>
      <c r="F44" s="27"/>
      <c r="G44" s="14"/>
      <c r="H44" s="14"/>
      <c r="I44" s="14"/>
      <c r="J44" s="14"/>
      <c r="K44" s="14"/>
      <c r="L44" s="14"/>
    </row>
    <row r="45" spans="1:12" ht="11.25">
      <c r="A45" s="8"/>
      <c r="B45" s="8"/>
      <c r="C45" s="14"/>
      <c r="D45" s="14"/>
      <c r="E45" s="14"/>
      <c r="F45" s="27"/>
      <c r="G45" s="14"/>
      <c r="H45" s="14"/>
      <c r="I45" s="14"/>
      <c r="J45" s="14"/>
      <c r="K45" s="14"/>
      <c r="L45" s="14"/>
    </row>
    <row r="46" spans="1:12" ht="11.25">
      <c r="A46" s="8"/>
      <c r="B46" s="8"/>
      <c r="C46" s="14"/>
      <c r="D46" s="14"/>
      <c r="E46" s="14"/>
      <c r="F46" s="27"/>
      <c r="G46" s="14"/>
      <c r="H46" s="14"/>
      <c r="I46" s="14"/>
      <c r="J46" s="14"/>
      <c r="K46" s="14"/>
      <c r="L46" s="14"/>
    </row>
    <row r="47" spans="1:12" ht="11.25">
      <c r="A47" s="8"/>
      <c r="B47" s="8"/>
      <c r="C47" s="14"/>
      <c r="D47" s="14"/>
      <c r="E47" s="14"/>
      <c r="F47" s="27"/>
      <c r="G47" s="14"/>
      <c r="H47" s="14"/>
      <c r="I47" s="14"/>
      <c r="J47" s="14"/>
      <c r="K47" s="14"/>
      <c r="L47" s="14"/>
    </row>
    <row r="48" spans="1:12" ht="11.25">
      <c r="A48" s="8"/>
      <c r="B48" s="8"/>
      <c r="C48" s="14"/>
      <c r="D48" s="14"/>
      <c r="E48" s="14"/>
      <c r="F48" s="27"/>
      <c r="G48" s="14"/>
      <c r="H48" s="14"/>
      <c r="I48" s="14"/>
      <c r="J48" s="14"/>
      <c r="K48" s="14"/>
      <c r="L48" s="14"/>
    </row>
    <row r="49" spans="1:12" ht="11.25">
      <c r="A49" s="8"/>
      <c r="B49" s="8"/>
      <c r="C49" s="14"/>
      <c r="D49" s="14"/>
      <c r="E49" s="14"/>
      <c r="F49" s="27"/>
      <c r="G49" s="14"/>
      <c r="H49" s="14"/>
      <c r="I49" s="14"/>
      <c r="J49" s="14"/>
      <c r="K49" s="14"/>
      <c r="L49" s="14"/>
    </row>
    <row r="50" spans="1:12" ht="11.25">
      <c r="A50" s="8"/>
      <c r="B50" s="8"/>
      <c r="C50" s="14"/>
      <c r="D50" s="14"/>
      <c r="E50" s="14"/>
      <c r="F50" s="27"/>
      <c r="G50" s="14"/>
      <c r="H50" s="14"/>
      <c r="I50" s="14"/>
      <c r="J50" s="14"/>
      <c r="K50" s="14"/>
      <c r="L50" s="14"/>
    </row>
    <row r="51" spans="1:12" ht="11.25">
      <c r="A51" s="8"/>
      <c r="B51" s="8"/>
      <c r="C51" s="14"/>
      <c r="D51" s="14"/>
      <c r="E51" s="14"/>
      <c r="F51" s="27"/>
      <c r="G51" s="14"/>
      <c r="H51" s="14"/>
      <c r="I51" s="14"/>
      <c r="J51" s="14"/>
      <c r="K51" s="14"/>
      <c r="L51" s="14"/>
    </row>
    <row r="52" spans="1:12" ht="11.25">
      <c r="A52" s="8"/>
      <c r="B52" s="8"/>
      <c r="C52" s="14"/>
      <c r="D52" s="14"/>
      <c r="E52" s="14"/>
      <c r="F52" s="27"/>
      <c r="G52" s="14"/>
      <c r="H52" s="14"/>
      <c r="I52" s="14"/>
      <c r="J52" s="14"/>
      <c r="K52" s="14"/>
      <c r="L52" s="14"/>
    </row>
    <row r="53" spans="1:12" ht="11.25">
      <c r="A53" s="8"/>
      <c r="B53" s="8"/>
      <c r="C53" s="14"/>
      <c r="D53" s="14"/>
      <c r="E53" s="14"/>
      <c r="F53" s="27"/>
      <c r="G53" s="14"/>
      <c r="H53" s="14"/>
      <c r="I53" s="14"/>
      <c r="J53" s="14"/>
      <c r="K53" s="14"/>
      <c r="L53" s="14"/>
    </row>
    <row r="54" spans="1:12" ht="11.25">
      <c r="A54" s="8"/>
      <c r="B54" s="8"/>
      <c r="C54" s="14"/>
      <c r="D54" s="14"/>
      <c r="E54" s="14"/>
      <c r="F54" s="27"/>
      <c r="G54" s="14"/>
      <c r="H54" s="14"/>
      <c r="I54" s="14"/>
      <c r="J54" s="14"/>
      <c r="K54" s="14"/>
      <c r="L54" s="14"/>
    </row>
    <row r="55" spans="1:12" ht="11.25">
      <c r="A55" s="8"/>
      <c r="B55" s="8"/>
      <c r="C55" s="14"/>
      <c r="D55" s="14"/>
      <c r="E55" s="14"/>
      <c r="F55" s="27"/>
      <c r="G55" s="14"/>
      <c r="H55" s="14"/>
      <c r="I55" s="14"/>
      <c r="J55" s="14"/>
      <c r="K55" s="14"/>
      <c r="L55" s="14"/>
    </row>
    <row r="56" spans="1:12" ht="11.25">
      <c r="A56" s="8"/>
      <c r="B56" s="8"/>
      <c r="C56" s="14"/>
      <c r="D56" s="14"/>
      <c r="E56" s="14"/>
      <c r="F56" s="27"/>
      <c r="G56" s="14"/>
      <c r="H56" s="14"/>
      <c r="I56" s="14"/>
      <c r="J56" s="14"/>
      <c r="K56" s="14"/>
      <c r="L56" s="14"/>
    </row>
    <row r="57" spans="1:12" ht="11.25">
      <c r="A57" s="8"/>
      <c r="B57" s="8"/>
      <c r="C57" s="14"/>
      <c r="D57" s="14"/>
      <c r="E57" s="14"/>
      <c r="F57" s="27"/>
      <c r="G57" s="14"/>
      <c r="H57" s="14"/>
      <c r="I57" s="14"/>
      <c r="J57" s="14"/>
      <c r="K57" s="14"/>
      <c r="L57" s="14"/>
    </row>
    <row r="58" spans="1:12" ht="11.25">
      <c r="A58" s="8"/>
      <c r="B58" s="8"/>
      <c r="C58" s="14"/>
      <c r="D58" s="14"/>
      <c r="E58" s="14"/>
      <c r="F58" s="27"/>
      <c r="G58" s="14"/>
      <c r="H58" s="14"/>
      <c r="I58" s="14"/>
      <c r="J58" s="14"/>
      <c r="K58" s="14"/>
      <c r="L58" s="14"/>
    </row>
    <row r="59" spans="1:12" ht="11.25">
      <c r="A59" s="8"/>
      <c r="B59" s="8"/>
      <c r="C59" s="14"/>
      <c r="D59" s="14"/>
      <c r="E59" s="14"/>
      <c r="F59" s="27"/>
      <c r="G59" s="14"/>
      <c r="H59" s="14"/>
      <c r="I59" s="14"/>
      <c r="J59" s="14"/>
      <c r="K59" s="14"/>
      <c r="L59" s="14"/>
    </row>
  </sheetData>
  <sheetProtection/>
  <mergeCells count="2">
    <mergeCell ref="G1:H1"/>
    <mergeCell ref="I1:L1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78.33203125" style="0" customWidth="1"/>
    <col min="2" max="2" width="6.16015625" style="0" customWidth="1"/>
    <col min="3" max="3" width="11" style="0" bestFit="1" customWidth="1"/>
    <col min="4" max="4" width="7.5" style="0" bestFit="1" customWidth="1"/>
    <col min="5" max="5" width="6" style="0" bestFit="1" customWidth="1"/>
    <col min="6" max="6" width="11.83203125" style="0" bestFit="1" customWidth="1"/>
    <col min="7" max="8" width="9.16015625" style="0" customWidth="1"/>
    <col min="9" max="12" width="6.16015625" style="0" customWidth="1"/>
  </cols>
  <sheetData>
    <row r="1" ht="13.5" thickBot="1">
      <c r="A1" s="1" t="s">
        <v>17</v>
      </c>
    </row>
    <row r="2" spans="1:13" ht="11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4" t="s">
        <v>8</v>
      </c>
      <c r="J2" s="6" t="s">
        <v>9</v>
      </c>
      <c r="K2" s="6" t="s">
        <v>10</v>
      </c>
      <c r="L2" s="6" t="s">
        <v>11</v>
      </c>
      <c r="M2" s="7"/>
    </row>
    <row r="3" spans="1:12" ht="11.25">
      <c r="A3" s="8" t="str">
        <f>VLOOKUP(LARGE('[1]Top25BEEB'!$A$5:$C$249,1),'[1]Top25BEEB'!$A$5:$C$249,3,FALSE)</f>
        <v>NEONATE BIRTHWT &gt;2499G, NORMAL NEWBORN OR NEONATE W OTHER PROBLEM                 </v>
      </c>
      <c r="B3" s="9">
        <f>VLOOKUP(LARGE('[1]Top25BEEB'!$A$5:$C$249,1),'[1]Top25BEEB'!$A$5:$C$249,1,FALSE)</f>
        <v>807</v>
      </c>
      <c r="C3" s="10">
        <f>VLOOKUP(LARGE('[1]Top25BEEB'!$A$5:$C$249,1),'[1]Top25BEEB'!$A$5:$C$249,1,FALSE)/'[1]Top25BEEB'!$I$250*100</f>
        <v>13.785445848992142</v>
      </c>
      <c r="D3" s="10">
        <f>(VLOOKUP(LARGE('[1]Top25BEEB'!$A$5:$C$249,1),'[1]Top25BEEB'!$A$5:$C$249,1,FALSE)/'[1]Top25BEEB'!$I$251*100)</f>
        <v>8.0853621881575</v>
      </c>
      <c r="E3" s="10">
        <f>VLOOKUP(LARGE('[1]Top25BEEB'!$A$5:$A$249,1),'[1]Top25BEEB'!$A$5:$P$249,14,FALSE)</f>
        <v>1.8</v>
      </c>
      <c r="F3" s="11">
        <f>VLOOKUP(LARGE('[1]Top25BEEB'!$A$5:$A$249,1),'[1]Top25BEEB'!$A$5:$P$249,15,FALSE)</f>
        <v>3457.1</v>
      </c>
      <c r="G3" s="12">
        <f>VLOOKUP(LARGE('[1]Top25BEEB'!$A$5:$A$249,1),'[1]Top25BEEB'!$A$5:$P$249,10,FALSE)/VLOOKUP(LARGE('[1]Top25BEEB'!$A$5:$A$249,1),'[1]Top25BEEB'!$A$5:$P$249,13,FALSE)*100</f>
        <v>51.548946716232955</v>
      </c>
      <c r="H3" s="13">
        <f>VLOOKUP(LARGE('[1]Top25BEEB'!$A$5:$A$249,1),'[1]Top25BEEB'!$A$5:$P$249,11,FALSE)/VLOOKUP(LARGE('[1]Top25BEEB'!$A$5:$A$249,1),'[1]Top25BEEB'!$A$5:$P$249,13,FALSE)*100</f>
        <v>48.45105328376704</v>
      </c>
      <c r="I3" s="12">
        <f>VLOOKUP(LARGE('[1]Top25BEEB'!$A$5:$A$249,1),'[1]Top25BEEB'!$A$5:$P$249,4,FALSE)/VLOOKUP(LARGE('[1]Top25BEEB'!$A$5:$A$249,1),'[1]Top25BEEB'!$A$5:$P$249,9,FALSE)*100</f>
        <v>100</v>
      </c>
      <c r="J3" s="14">
        <f>VLOOKUP(LARGE('[1]Top25BEEB'!$A$5:$A$249,1),'[1]Top25BEEB'!$A$5:$P$249,5,FALSE)/VLOOKUP(LARGE('[1]Top25BEEB'!$A$5:$A$249,1),'[1]Top25BEEB'!$A$5:$P$249,9,FALSE)*100</f>
        <v>0</v>
      </c>
      <c r="K3" s="14">
        <f>VLOOKUP(LARGE('[1]Top25BEEB'!$A$5:$A$249,1),'[1]Top25BEEB'!$A$5:$P$249,6,FALSE)/VLOOKUP(LARGE('[1]Top25BEEB'!$A$5:$A$249,1),'[1]Top25BEEB'!$A$5:$P$249,9,FALSE)*100</f>
        <v>0</v>
      </c>
      <c r="L3" s="14">
        <f>VLOOKUP(LARGE('[1]Top25BEEB'!$A$5:$A$249,1),'[1]Top25BEEB'!$A$5:$P$249,7,FALSE)/VLOOKUP(LARGE('[1]Top25BEEB'!$A$5:$A$249,1),'[1]Top25BEEB'!$A$5:$P$249,9,FALSE)*100</f>
        <v>0</v>
      </c>
    </row>
    <row r="4" spans="1:12" ht="11.25">
      <c r="A4" s="8" t="str">
        <f>VLOOKUP(LARGE('[1]Top25BEEB'!$A$5:$C$249,2),'[1]Top25BEEB'!$A$5:$C$249,3,FALSE)</f>
        <v>VAGINAL DELIVERY                                                                  </v>
      </c>
      <c r="B4" s="9">
        <f>VLOOKUP(LARGE('[1]Top25BEEB'!$A$5:$C$249,2),'[1]Top25BEEB'!$A$5:$C$249,1,FALSE)</f>
        <v>601</v>
      </c>
      <c r="C4" s="10">
        <f>VLOOKUP(LARGE('[1]Top25BEEB'!$A$5:$C$249,2),'[1]Top25BEEB'!$A$5:$C$249,1,FALSE)/'[1]Top25BEEB'!$I$250*100</f>
        <v>10.266484455073455</v>
      </c>
      <c r="D4" s="10">
        <f>(VLOOKUP(LARGE('[1]Top25BEEB'!$A$5:$C$249,2),'[1]Top25BEEB'!$A$5:$C$249,1,FALSE)/'[1]Top25BEEB'!$I$251*100)</f>
        <v>6.021440737401062</v>
      </c>
      <c r="E4" s="10">
        <f>VLOOKUP(LARGE('[1]Top25BEEB'!$A$5:$A$249,2),'[1]Top25BEEB'!$A$5:$P$249,14,FALSE)</f>
        <v>1.8</v>
      </c>
      <c r="F4" s="11">
        <f>VLOOKUP(LARGE('[1]Top25BEEB'!$A$5:$A$249,2),'[1]Top25BEEB'!$A$5:$P$249,15,FALSE)</f>
        <v>6115.27</v>
      </c>
      <c r="G4" s="12">
        <f>VLOOKUP(LARGE('[1]Top25BEEB'!$A$5:$A$249,2),'[1]Top25BEEB'!$A$5:$P$249,10,FALSE)/VLOOKUP(LARGE('[1]Top25BEEB'!$A$5:$A$249,2),'[1]Top25BEEB'!$A$5:$P$249,13,FALSE)*100</f>
        <v>0</v>
      </c>
      <c r="H4" s="13">
        <f>VLOOKUP(LARGE('[1]Top25BEEB'!$A$5:$A$249,2),'[1]Top25BEEB'!$A$5:$P$249,11,FALSE)/VLOOKUP(LARGE('[1]Top25BEEB'!$A$5:$A$249,2),'[1]Top25BEEB'!$A$5:$P$249,13,FALSE)*100</f>
        <v>100</v>
      </c>
      <c r="I4" s="12">
        <f>VLOOKUP(LARGE('[1]Top25BEEB'!$A$5:$A$249,2),'[1]Top25BEEB'!$A$5:$P$249,4,FALSE)/VLOOKUP(LARGE('[1]Top25BEEB'!$A$5:$A$249,2),'[1]Top25BEEB'!$A$5:$P$249,9,FALSE)*100</f>
        <v>3.6605657237936775</v>
      </c>
      <c r="J4" s="14">
        <f>VLOOKUP(LARGE('[1]Top25BEEB'!$A$5:$A$249,2),'[1]Top25BEEB'!$A$5:$P$249,5,FALSE)/VLOOKUP(LARGE('[1]Top25BEEB'!$A$5:$A$249,2),'[1]Top25BEEB'!$A$5:$P$249,9,FALSE)*100</f>
        <v>96.33943427620633</v>
      </c>
      <c r="K4" s="14">
        <f>VLOOKUP(LARGE('[1]Top25BEEB'!$A$5:$A$249,2),'[1]Top25BEEB'!$A$5:$P$249,6,FALSE)/VLOOKUP(LARGE('[1]Top25BEEB'!$A$5:$A$249,2),'[1]Top25BEEB'!$A$5:$P$249,9,FALSE)*100</f>
        <v>0</v>
      </c>
      <c r="L4" s="14">
        <f>VLOOKUP(LARGE('[1]Top25BEEB'!$A$5:$A$249,2),'[1]Top25BEEB'!$A$5:$P$249,7,FALSE)/VLOOKUP(LARGE('[1]Top25BEEB'!$A$5:$A$249,2),'[1]Top25BEEB'!$A$5:$P$249,9,FALSE)*100</f>
        <v>0</v>
      </c>
    </row>
    <row r="5" spans="1:12" ht="11.25">
      <c r="A5" s="8" t="str">
        <f>VLOOKUP(LARGE('[1]Top25BEEB'!$A$5:$C$249,3),'[1]Top25BEEB'!$A$5:$C$249,3,FALSE)</f>
        <v>KNEE JOINT REPLACEMENT                                                            </v>
      </c>
      <c r="B5" s="9">
        <f>VLOOKUP(LARGE('[1]Top25BEEB'!$A$5:$C$249,3),'[1]Top25BEEB'!$A$5:$C$249,1,FALSE)</f>
        <v>541</v>
      </c>
      <c r="C5" s="10">
        <f>VLOOKUP(LARGE('[1]Top25BEEB'!$A$5:$C$249,3),'[1]Top25BEEB'!$A$5:$C$249,1,FALSE)/'[1]Top25BEEB'!$I$250*100</f>
        <v>9.241544243252477</v>
      </c>
      <c r="D5" s="10">
        <f>(VLOOKUP(LARGE('[1]Top25BEEB'!$A$5:$C$249,3),'[1]Top25BEEB'!$A$5:$C$249,1,FALSE)/'[1]Top25BEEB'!$I$251*100)</f>
        <v>5.420298567277828</v>
      </c>
      <c r="E5" s="10">
        <f>VLOOKUP(LARGE('[1]Top25BEEB'!$A$5:$A$249,3),'[1]Top25BEEB'!$A$5:$P$249,14,FALSE)</f>
        <v>3.1</v>
      </c>
      <c r="F5" s="11">
        <f>VLOOKUP(LARGE('[1]Top25BEEB'!$A$5:$A$249,3),'[1]Top25BEEB'!$A$5:$P$249,15,FALSE)</f>
        <v>31090.19</v>
      </c>
      <c r="G5" s="12">
        <f>VLOOKUP(LARGE('[1]Top25BEEB'!$A$5:$A$249,3),'[1]Top25BEEB'!$A$5:$P$249,10,FALSE)/VLOOKUP(LARGE('[1]Top25BEEB'!$A$5:$A$249,3),'[1]Top25BEEB'!$A$5:$P$249,13,FALSE)*100</f>
        <v>37.33826247689464</v>
      </c>
      <c r="H5" s="13">
        <f>VLOOKUP(LARGE('[1]Top25BEEB'!$A$5:$A$249,3),'[1]Top25BEEB'!$A$5:$P$249,11,FALSE)/VLOOKUP(LARGE('[1]Top25BEEB'!$A$5:$A$249,3),'[1]Top25BEEB'!$A$5:$P$249,13,FALSE)*100</f>
        <v>62.661737523105366</v>
      </c>
      <c r="I5" s="12">
        <f>VLOOKUP(LARGE('[1]Top25BEEB'!$A$5:$A$249,3),'[1]Top25BEEB'!$A$5:$P$249,4,FALSE)/VLOOKUP(LARGE('[1]Top25BEEB'!$A$5:$A$249,3),'[1]Top25BEEB'!$A$5:$P$249,9,FALSE)*100</f>
        <v>0</v>
      </c>
      <c r="J5" s="14">
        <f>VLOOKUP(LARGE('[1]Top25BEEB'!$A$5:$A$249,3),'[1]Top25BEEB'!$A$5:$P$249,5,FALSE)/VLOOKUP(LARGE('[1]Top25BEEB'!$A$5:$A$249,3),'[1]Top25BEEB'!$A$5:$P$249,9,FALSE)*100</f>
        <v>1.6635859519408502</v>
      </c>
      <c r="K5" s="14">
        <f>VLOOKUP(LARGE('[1]Top25BEEB'!$A$5:$A$249,3),'[1]Top25BEEB'!$A$5:$P$249,6,FALSE)/VLOOKUP(LARGE('[1]Top25BEEB'!$A$5:$A$249,3),'[1]Top25BEEB'!$A$5:$P$249,9,FALSE)*100</f>
        <v>34.011090573012936</v>
      </c>
      <c r="L5" s="14">
        <f>VLOOKUP(LARGE('[1]Top25BEEB'!$A$5:$A$249,3),'[1]Top25BEEB'!$A$5:$P$249,7,FALSE)/VLOOKUP(LARGE('[1]Top25BEEB'!$A$5:$A$249,3),'[1]Top25BEEB'!$A$5:$P$249,9,FALSE)*100</f>
        <v>64.32532347504622</v>
      </c>
    </row>
    <row r="6" spans="1:12" ht="11.25">
      <c r="A6" s="8" t="str">
        <f>VLOOKUP(LARGE('[1]Top25BEEB'!$A$5:$C$249,4),'[1]Top25BEEB'!$A$5:$C$249,3,FALSE)</f>
        <v>HEART FAILURE                                                                     </v>
      </c>
      <c r="B6" s="9">
        <f>VLOOKUP(LARGE('[1]Top25BEEB'!$A$5:$C$249,4),'[1]Top25BEEB'!$A$5:$C$249,1,FALSE)</f>
        <v>374</v>
      </c>
      <c r="C6" s="10">
        <f>VLOOKUP(LARGE('[1]Top25BEEB'!$A$5:$C$249,4),'[1]Top25BEEB'!$A$5:$C$249,1,FALSE)/'[1]Top25BEEB'!$I$250*100</f>
        <v>6.388793987017424</v>
      </c>
      <c r="D6" s="10">
        <f>(VLOOKUP(LARGE('[1]Top25BEEB'!$A$5:$C$249,4),'[1]Top25BEEB'!$A$5:$C$249,1,FALSE)/'[1]Top25BEEB'!$I$251*100)</f>
        <v>3.747119527101493</v>
      </c>
      <c r="E6" s="10">
        <f>VLOOKUP(LARGE('[1]Top25BEEB'!$A$5:$A$249,4),'[1]Top25BEEB'!$A$5:$P$249,14,FALSE)</f>
        <v>4.4</v>
      </c>
      <c r="F6" s="11">
        <f>VLOOKUP(LARGE('[1]Top25BEEB'!$A$5:$A$249,4),'[1]Top25BEEB'!$A$5:$P$249,15,FALSE)</f>
        <v>25243.75</v>
      </c>
      <c r="G6" s="12">
        <f>VLOOKUP(LARGE('[1]Top25BEEB'!$A$5:$A$249,4),'[1]Top25BEEB'!$A$5:$P$249,10,FALSE)/VLOOKUP(LARGE('[1]Top25BEEB'!$A$5:$A$249,4),'[1]Top25BEEB'!$A$5:$P$249,13,FALSE)*100</f>
        <v>48.93048128342246</v>
      </c>
      <c r="H6" s="13">
        <f>VLOOKUP(LARGE('[1]Top25BEEB'!$A$5:$A$249,4),'[1]Top25BEEB'!$A$5:$P$249,11,FALSE)/VLOOKUP(LARGE('[1]Top25BEEB'!$A$5:$A$249,4),'[1]Top25BEEB'!$A$5:$P$249,13,FALSE)*100</f>
        <v>51.06951871657755</v>
      </c>
      <c r="I6" s="12">
        <f>VLOOKUP(LARGE('[1]Top25BEEB'!$A$5:$A$249,4),'[1]Top25BEEB'!$A$5:$P$249,4,FALSE)/VLOOKUP(LARGE('[1]Top25BEEB'!$A$5:$A$249,4),'[1]Top25BEEB'!$A$5:$P$249,9,FALSE)*100</f>
        <v>0</v>
      </c>
      <c r="J6" s="14">
        <f>VLOOKUP(LARGE('[1]Top25BEEB'!$A$5:$A$249,4),'[1]Top25BEEB'!$A$5:$P$249,5,FALSE)/VLOOKUP(LARGE('[1]Top25BEEB'!$A$5:$A$249,4),'[1]Top25BEEB'!$A$5:$P$249,9,FALSE)*100</f>
        <v>2.406417112299465</v>
      </c>
      <c r="K6" s="14">
        <f>VLOOKUP(LARGE('[1]Top25BEEB'!$A$5:$A$249,4),'[1]Top25BEEB'!$A$5:$P$249,6,FALSE)/VLOOKUP(LARGE('[1]Top25BEEB'!$A$5:$A$249,4),'[1]Top25BEEB'!$A$5:$P$249,9,FALSE)*100</f>
        <v>15.240641711229946</v>
      </c>
      <c r="L6" s="14">
        <f>VLOOKUP(LARGE('[1]Top25BEEB'!$A$5:$A$249,4),'[1]Top25BEEB'!$A$5:$P$249,7,FALSE)/VLOOKUP(LARGE('[1]Top25BEEB'!$A$5:$A$249,4),'[1]Top25BEEB'!$A$5:$P$249,9,FALSE)*100</f>
        <v>82.35294117647058</v>
      </c>
    </row>
    <row r="7" spans="1:12" ht="11.25">
      <c r="A7" s="8" t="str">
        <f>VLOOKUP(LARGE('[1]Top25BEEB'!$A$5:$C$249,5),'[1]Top25BEEB'!$A$5:$C$249,3,FALSE)</f>
        <v>SEPTICEMIA &amp; DISSEMINATED INFECTIONS                                              </v>
      </c>
      <c r="B7" s="9">
        <f>VLOOKUP(LARGE('[1]Top25BEEB'!$A$5:$C$249,5),'[1]Top25BEEB'!$A$5:$C$249,1,FALSE)</f>
        <v>345</v>
      </c>
      <c r="C7" s="10">
        <f>VLOOKUP(LARGE('[1]Top25BEEB'!$A$5:$C$249,5),'[1]Top25BEEB'!$A$5:$C$249,1,FALSE)/'[1]Top25BEEB'!$I$250*100</f>
        <v>5.893406217970618</v>
      </c>
      <c r="D7" s="10">
        <f>(VLOOKUP(LARGE('[1]Top25BEEB'!$A$5:$C$249,5),'[1]Top25BEEB'!$A$5:$C$249,1,FALSE)/'[1]Top25BEEB'!$I$251*100)</f>
        <v>3.4565674782085964</v>
      </c>
      <c r="E7" s="10">
        <f>VLOOKUP(LARGE('[1]Top25BEEB'!$A$5:$A$249,5),'[1]Top25BEEB'!$A$5:$P$249,14,FALSE)</f>
        <v>5.8</v>
      </c>
      <c r="F7" s="11">
        <f>VLOOKUP(LARGE('[1]Top25BEEB'!$A$5:$A$249,5),'[1]Top25BEEB'!$A$5:$P$249,15,FALSE)</f>
        <v>38437.6</v>
      </c>
      <c r="G7" s="12">
        <f>VLOOKUP(LARGE('[1]Top25BEEB'!$A$5:$A$249,5),'[1]Top25BEEB'!$A$5:$P$249,10,FALSE)/VLOOKUP(LARGE('[1]Top25BEEB'!$A$5:$A$249,5),'[1]Top25BEEB'!$A$5:$P$249,13,FALSE)*100</f>
        <v>50.43478260869565</v>
      </c>
      <c r="H7" s="13">
        <f>VLOOKUP(LARGE('[1]Top25BEEB'!$A$5:$A$249,5),'[1]Top25BEEB'!$A$5:$P$249,11,FALSE)/VLOOKUP(LARGE('[1]Top25BEEB'!$A$5:$A$249,5),'[1]Top25BEEB'!$A$5:$P$249,13,FALSE)*100</f>
        <v>49.56521739130435</v>
      </c>
      <c r="I7" s="12">
        <f>VLOOKUP(LARGE('[1]Top25BEEB'!$A$5:$A$249,5),'[1]Top25BEEB'!$A$5:$P$249,4,FALSE)/VLOOKUP(LARGE('[1]Top25BEEB'!$A$5:$A$249,5),'[1]Top25BEEB'!$A$5:$P$249,9,FALSE)*100</f>
        <v>0</v>
      </c>
      <c r="J7" s="14">
        <f>VLOOKUP(LARGE('[1]Top25BEEB'!$A$5:$A$249,5),'[1]Top25BEEB'!$A$5:$P$249,5,FALSE)/VLOOKUP(LARGE('[1]Top25BEEB'!$A$5:$A$249,5),'[1]Top25BEEB'!$A$5:$P$249,9,FALSE)*100</f>
        <v>1.4492753623188406</v>
      </c>
      <c r="K7" s="14">
        <f>VLOOKUP(LARGE('[1]Top25BEEB'!$A$5:$A$249,5),'[1]Top25BEEB'!$A$5:$P$249,6,FALSE)/VLOOKUP(LARGE('[1]Top25BEEB'!$A$5:$A$249,5),'[1]Top25BEEB'!$A$5:$P$249,9,FALSE)*100</f>
        <v>22.318840579710145</v>
      </c>
      <c r="L7" s="14">
        <f>VLOOKUP(LARGE('[1]Top25BEEB'!$A$5:$A$249,5),'[1]Top25BEEB'!$A$5:$P$249,7,FALSE)/VLOOKUP(LARGE('[1]Top25BEEB'!$A$5:$A$249,5),'[1]Top25BEEB'!$A$5:$P$249,9,FALSE)*100</f>
        <v>76.23188405797102</v>
      </c>
    </row>
    <row r="8" spans="1:12" ht="11.25">
      <c r="A8" s="8" t="str">
        <f>VLOOKUP(LARGE('[1]Top25BEEB'!$A$5:$C$249,6),'[1]Top25BEEB'!$A$5:$C$249,3,FALSE)</f>
        <v>OTHER PNEUMONIA                                                                   </v>
      </c>
      <c r="B8" s="9">
        <f>VLOOKUP(LARGE('[1]Top25BEEB'!$A$5:$C$249,6),'[1]Top25BEEB'!$A$5:$C$249,1,FALSE)</f>
        <v>311</v>
      </c>
      <c r="C8" s="10">
        <f>VLOOKUP(LARGE('[1]Top25BEEB'!$A$5:$C$249,6),'[1]Top25BEEB'!$A$5:$C$249,1,FALSE)/'[1]Top25BEEB'!$I$250*100</f>
        <v>5.312606764605398</v>
      </c>
      <c r="D8" s="10">
        <f>(VLOOKUP(LARGE('[1]Top25BEEB'!$A$5:$C$249,6),'[1]Top25BEEB'!$A$5:$C$249,1,FALSE)/'[1]Top25BEEB'!$I$251*100)</f>
        <v>3.1159202484720967</v>
      </c>
      <c r="E8" s="10">
        <f>VLOOKUP(LARGE('[1]Top25BEEB'!$A$5:$A$249,6),'[1]Top25BEEB'!$A$5:$P$249,14,FALSE)</f>
        <v>4.4</v>
      </c>
      <c r="F8" s="11">
        <f>VLOOKUP(LARGE('[1]Top25BEEB'!$A$5:$A$249,6),'[1]Top25BEEB'!$A$5:$P$249,15,FALSE)</f>
        <v>23797.17</v>
      </c>
      <c r="G8" s="12">
        <f>VLOOKUP(LARGE('[1]Top25BEEB'!$A$5:$A$249,6),'[1]Top25BEEB'!$A$5:$P$249,10,FALSE)/VLOOKUP(LARGE('[1]Top25BEEB'!$A$5:$A$249,6),'[1]Top25BEEB'!$A$5:$P$249,13,FALSE)*100</f>
        <v>48.231511254019296</v>
      </c>
      <c r="H8" s="13">
        <f>VLOOKUP(LARGE('[1]Top25BEEB'!$A$5:$A$249,6),'[1]Top25BEEB'!$A$5:$P$249,11,FALSE)/VLOOKUP(LARGE('[1]Top25BEEB'!$A$5:$A$249,6),'[1]Top25BEEB'!$A$5:$P$249,13,FALSE)*100</f>
        <v>51.76848874598071</v>
      </c>
      <c r="I8" s="12">
        <f>VLOOKUP(LARGE('[1]Top25BEEB'!$A$5:$A$249,6),'[1]Top25BEEB'!$A$5:$P$249,4,FALSE)/VLOOKUP(LARGE('[1]Top25BEEB'!$A$5:$A$249,6),'[1]Top25BEEB'!$A$5:$P$249,9,FALSE)*100</f>
        <v>7.717041800643088</v>
      </c>
      <c r="J8" s="14">
        <f>VLOOKUP(LARGE('[1]Top25BEEB'!$A$5:$A$249,6),'[1]Top25BEEB'!$A$5:$P$249,5,FALSE)/VLOOKUP(LARGE('[1]Top25BEEB'!$A$5:$A$249,6),'[1]Top25BEEB'!$A$5:$P$249,9,FALSE)*100</f>
        <v>5.144694533762058</v>
      </c>
      <c r="K8" s="14">
        <f>VLOOKUP(LARGE('[1]Top25BEEB'!$A$5:$A$249,6),'[1]Top25BEEB'!$A$5:$P$249,6,FALSE)/VLOOKUP(LARGE('[1]Top25BEEB'!$A$5:$A$249,6),'[1]Top25BEEB'!$A$5:$P$249,9,FALSE)*100</f>
        <v>19.614147909967848</v>
      </c>
      <c r="L8" s="14">
        <f>VLOOKUP(LARGE('[1]Top25BEEB'!$A$5:$A$249,6),'[1]Top25BEEB'!$A$5:$P$249,7,FALSE)/VLOOKUP(LARGE('[1]Top25BEEB'!$A$5:$A$249,6),'[1]Top25BEEB'!$A$5:$P$249,9,FALSE)*100</f>
        <v>67.52411575562701</v>
      </c>
    </row>
    <row r="9" spans="1:12" ht="11.25">
      <c r="A9" s="8" t="str">
        <f>VLOOKUP(LARGE('[1]Top25BEEB'!$A$5:$C$249,7),'[1]Top25BEEB'!$A$5:$C$249,3,FALSE)</f>
        <v>CESAREAN DELIVERY                                                                 </v>
      </c>
      <c r="B9" s="9">
        <f>VLOOKUP(LARGE('[1]Top25BEEB'!$A$5:$C$249,7),'[1]Top25BEEB'!$A$5:$C$249,1,FALSE)</f>
        <v>268</v>
      </c>
      <c r="C9" s="10">
        <f>VLOOKUP(LARGE('[1]Top25BEEB'!$A$5:$C$249,7),'[1]Top25BEEB'!$A$5:$C$249,1,FALSE)/'[1]Top25BEEB'!$I$250*100</f>
        <v>4.578066279467031</v>
      </c>
      <c r="D9" s="10">
        <f>(VLOOKUP(LARGE('[1]Top25BEEB'!$A$5:$C$249,7),'[1]Top25BEEB'!$A$5:$C$249,1,FALSE)/'[1]Top25BEEB'!$I$251*100)</f>
        <v>2.6851016932171126</v>
      </c>
      <c r="E9" s="10">
        <f>VLOOKUP(LARGE('[1]Top25BEEB'!$A$5:$A$249,7),'[1]Top25BEEB'!$A$5:$P$249,14,FALSE)</f>
        <v>2.5</v>
      </c>
      <c r="F9" s="11">
        <f>VLOOKUP(LARGE('[1]Top25BEEB'!$A$5:$A$249,7),'[1]Top25BEEB'!$A$5:$P$249,15,FALSE)</f>
        <v>14144.54</v>
      </c>
      <c r="G9" s="12">
        <f>VLOOKUP(LARGE('[1]Top25BEEB'!$A$5:$A$249,7),'[1]Top25BEEB'!$A$5:$P$249,10,FALSE)/VLOOKUP(LARGE('[1]Top25BEEB'!$A$5:$A$249,7),'[1]Top25BEEB'!$A$5:$P$249,13,FALSE)*100</f>
        <v>0</v>
      </c>
      <c r="H9" s="13">
        <f>VLOOKUP(LARGE('[1]Top25BEEB'!$A$5:$A$249,7),'[1]Top25BEEB'!$A$5:$P$249,11,FALSE)/VLOOKUP(LARGE('[1]Top25BEEB'!$A$5:$A$249,7),'[1]Top25BEEB'!$A$5:$P$249,13,FALSE)*100</f>
        <v>100</v>
      </c>
      <c r="I9" s="12">
        <f>VLOOKUP(LARGE('[1]Top25BEEB'!$A$5:$A$249,7),'[1]Top25BEEB'!$A$5:$P$249,4,FALSE)/VLOOKUP(LARGE('[1]Top25BEEB'!$A$5:$A$249,7),'[1]Top25BEEB'!$A$5:$P$249,9,FALSE)*100</f>
        <v>1.8656716417910446</v>
      </c>
      <c r="J9" s="14">
        <f>VLOOKUP(LARGE('[1]Top25BEEB'!$A$5:$A$249,7),'[1]Top25BEEB'!$A$5:$P$249,5,FALSE)/VLOOKUP(LARGE('[1]Top25BEEB'!$A$5:$A$249,7),'[1]Top25BEEB'!$A$5:$P$249,9,FALSE)*100</f>
        <v>97.76119402985076</v>
      </c>
      <c r="K9" s="14">
        <f>VLOOKUP(LARGE('[1]Top25BEEB'!$A$5:$A$249,7),'[1]Top25BEEB'!$A$5:$P$249,6,FALSE)/VLOOKUP(LARGE('[1]Top25BEEB'!$A$5:$A$249,7),'[1]Top25BEEB'!$A$5:$P$249,9,FALSE)*100</f>
        <v>0.3731343283582089</v>
      </c>
      <c r="L9" s="14">
        <f>VLOOKUP(LARGE('[1]Top25BEEB'!$A$5:$A$249,7),'[1]Top25BEEB'!$A$5:$P$249,7,FALSE)/VLOOKUP(LARGE('[1]Top25BEEB'!$A$5:$A$249,7),'[1]Top25BEEB'!$A$5:$P$249,9,FALSE)*100</f>
        <v>0</v>
      </c>
    </row>
    <row r="10" spans="1:12" ht="11.25">
      <c r="A10" s="8" t="str">
        <f>VLOOKUP(LARGE('[1]Top25BEEB'!$A$5:$C$249,8),'[1]Top25BEEB'!$A$5:$C$249,3,FALSE)</f>
        <v>CARDIAC ARRHYTHMIA &amp; CONDUCTION DISORDERS                                         </v>
      </c>
      <c r="B10" s="9">
        <f>VLOOKUP(LARGE('[1]Top25BEEB'!$A$5:$C$249,8),'[1]Top25BEEB'!$A$5:$C$249,1,FALSE)</f>
        <v>266</v>
      </c>
      <c r="C10" s="10">
        <f>VLOOKUP(LARGE('[1]Top25BEEB'!$A$5:$C$249,8),'[1]Top25BEEB'!$A$5:$C$249,1,FALSE)/'[1]Top25BEEB'!$I$250*100</f>
        <v>4.543901605739665</v>
      </c>
      <c r="D10" s="10">
        <f>(VLOOKUP(LARGE('[1]Top25BEEB'!$A$5:$C$249,8),'[1]Top25BEEB'!$A$5:$C$249,1,FALSE)/'[1]Top25BEEB'!$I$251*100)</f>
        <v>2.6650636208796716</v>
      </c>
      <c r="E10" s="10">
        <f>VLOOKUP(LARGE('[1]Top25BEEB'!$A$5:$A$249,8),'[1]Top25BEEB'!$A$5:$P$249,14,FALSE)</f>
        <v>2.9</v>
      </c>
      <c r="F10" s="11">
        <f>VLOOKUP(LARGE('[1]Top25BEEB'!$A$5:$A$249,8),'[1]Top25BEEB'!$A$5:$P$249,15,FALSE)</f>
        <v>18074.51</v>
      </c>
      <c r="G10" s="12">
        <f>VLOOKUP(LARGE('[1]Top25BEEB'!$A$5:$A$249,8),'[1]Top25BEEB'!$A$5:$P$249,10,FALSE)/VLOOKUP(LARGE('[1]Top25BEEB'!$A$5:$A$249,8),'[1]Top25BEEB'!$A$5:$P$249,13,FALSE)*100</f>
        <v>50.37593984962406</v>
      </c>
      <c r="H10" s="13">
        <f>VLOOKUP(LARGE('[1]Top25BEEB'!$A$5:$A$249,8),'[1]Top25BEEB'!$A$5:$P$249,11,FALSE)/VLOOKUP(LARGE('[1]Top25BEEB'!$A$5:$A$249,8),'[1]Top25BEEB'!$A$5:$P$249,13,FALSE)*100</f>
        <v>49.62406015037594</v>
      </c>
      <c r="I10" s="12">
        <f>VLOOKUP(LARGE('[1]Top25BEEB'!$A$5:$A$249,8),'[1]Top25BEEB'!$A$5:$P$249,4,FALSE)/VLOOKUP(LARGE('[1]Top25BEEB'!$A$5:$A$249,8),'[1]Top25BEEB'!$A$5:$P$249,9,FALSE)*100</f>
        <v>0</v>
      </c>
      <c r="J10" s="14">
        <f>VLOOKUP(LARGE('[1]Top25BEEB'!$A$5:$A$249,8),'[1]Top25BEEB'!$A$5:$P$249,5,FALSE)/VLOOKUP(LARGE('[1]Top25BEEB'!$A$5:$A$249,8),'[1]Top25BEEB'!$A$5:$P$249,9,FALSE)*100</f>
        <v>2.2556390977443606</v>
      </c>
      <c r="K10" s="14">
        <f>VLOOKUP(LARGE('[1]Top25BEEB'!$A$5:$A$249,8),'[1]Top25BEEB'!$A$5:$P$249,6,FALSE)/VLOOKUP(LARGE('[1]Top25BEEB'!$A$5:$A$249,8),'[1]Top25BEEB'!$A$5:$P$249,9,FALSE)*100</f>
        <v>26.691729323308273</v>
      </c>
      <c r="L10" s="14">
        <f>VLOOKUP(LARGE('[1]Top25BEEB'!$A$5:$A$249,8),'[1]Top25BEEB'!$A$5:$P$249,7,FALSE)/VLOOKUP(LARGE('[1]Top25BEEB'!$A$5:$A$249,8),'[1]Top25BEEB'!$A$5:$P$249,9,FALSE)*100</f>
        <v>71.05263157894737</v>
      </c>
    </row>
    <row r="11" spans="1:12" ht="11.25">
      <c r="A11" s="8" t="str">
        <f>VLOOKUP(LARGE('[1]Top25BEEB'!$A$5:$C$249,9),'[1]Top25BEEB'!$A$5:$C$249,3,FALSE)</f>
        <v>HIP JOINT REPLACEMENT                                                             </v>
      </c>
      <c r="B11" s="9">
        <f>VLOOKUP(LARGE('[1]Top25BEEB'!$A$5:$C$249,9),'[1]Top25BEEB'!$A$5:$C$249,1,FALSE)</f>
        <v>256</v>
      </c>
      <c r="C11" s="10">
        <f>VLOOKUP(LARGE('[1]Top25BEEB'!$A$5:$C$249,9),'[1]Top25BEEB'!$A$5:$C$249,1,FALSE)/'[1]Top25BEEB'!$I$250*100</f>
        <v>4.373078237102836</v>
      </c>
      <c r="D11" s="10">
        <f>(VLOOKUP(LARGE('[1]Top25BEEB'!$A$5:$C$249,9),'[1]Top25BEEB'!$A$5:$C$249,1,FALSE)/'[1]Top25BEEB'!$I$251*100)</f>
        <v>2.5648732591924657</v>
      </c>
      <c r="E11" s="10">
        <f>VLOOKUP(LARGE('[1]Top25BEEB'!$A$5:$A$249,9),'[1]Top25BEEB'!$A$5:$P$249,14,FALSE)</f>
        <v>4.3</v>
      </c>
      <c r="F11" s="11">
        <f>VLOOKUP(LARGE('[1]Top25BEEB'!$A$5:$A$249,9),'[1]Top25BEEB'!$A$5:$P$249,15,FALSE)</f>
        <v>36192.27</v>
      </c>
      <c r="G11" s="12">
        <f>VLOOKUP(LARGE('[1]Top25BEEB'!$A$5:$A$249,9),'[1]Top25BEEB'!$A$5:$P$249,10,FALSE)/VLOOKUP(LARGE('[1]Top25BEEB'!$A$5:$A$249,9),'[1]Top25BEEB'!$A$5:$P$249,13,FALSE)*100</f>
        <v>46.09375</v>
      </c>
      <c r="H11" s="13">
        <f>VLOOKUP(LARGE('[1]Top25BEEB'!$A$5:$A$249,9),'[1]Top25BEEB'!$A$5:$P$249,11,FALSE)/VLOOKUP(LARGE('[1]Top25BEEB'!$A$5:$A$249,9),'[1]Top25BEEB'!$A$5:$P$249,13,FALSE)*100</f>
        <v>53.90625</v>
      </c>
      <c r="I11" s="12">
        <f>VLOOKUP(LARGE('[1]Top25BEEB'!$A$5:$A$249,9),'[1]Top25BEEB'!$A$5:$P$249,4,FALSE)/VLOOKUP(LARGE('[1]Top25BEEB'!$A$5:$A$249,9),'[1]Top25BEEB'!$A$5:$P$249,9,FALSE)*100</f>
        <v>0</v>
      </c>
      <c r="J11" s="14">
        <f>VLOOKUP(LARGE('[1]Top25BEEB'!$A$5:$A$249,9),'[1]Top25BEEB'!$A$5:$P$249,5,FALSE)/VLOOKUP(LARGE('[1]Top25BEEB'!$A$5:$A$249,9),'[1]Top25BEEB'!$A$5:$P$249,9,FALSE)*100</f>
        <v>3.125</v>
      </c>
      <c r="K11" s="14">
        <f>VLOOKUP(LARGE('[1]Top25BEEB'!$A$5:$A$249,9),'[1]Top25BEEB'!$A$5:$P$249,6,FALSE)/VLOOKUP(LARGE('[1]Top25BEEB'!$A$5:$A$249,9),'[1]Top25BEEB'!$A$5:$P$249,9,FALSE)*100</f>
        <v>30.46875</v>
      </c>
      <c r="L11" s="14">
        <f>VLOOKUP(LARGE('[1]Top25BEEB'!$A$5:$A$249,9),'[1]Top25BEEB'!$A$5:$P$249,7,FALSE)/VLOOKUP(LARGE('[1]Top25BEEB'!$A$5:$A$249,9),'[1]Top25BEEB'!$A$5:$P$249,9,FALSE)*100</f>
        <v>66.40625</v>
      </c>
    </row>
    <row r="12" spans="1:12" ht="11.25">
      <c r="A12" s="8" t="str">
        <f>VLOOKUP(LARGE('[1]Top25BEEB'!$A$5:$C$249,10),'[1]Top25BEEB'!$A$5:$C$249,3,FALSE)</f>
        <v>DORSAL &amp; LUMBAR FUSION PROC EXCEPT FOR CURVATURE OF BACK                          </v>
      </c>
      <c r="B12" s="9">
        <f>VLOOKUP(LARGE('[1]Top25BEEB'!$A$5:$C$249,10),'[1]Top25BEEB'!$A$5:$C$249,1,FALSE)</f>
        <v>214</v>
      </c>
      <c r="C12" s="10">
        <f>VLOOKUP(LARGE('[1]Top25BEEB'!$A$5:$C$249,10),'[1]Top25BEEB'!$A$5:$C$249,1,FALSE)/'[1]Top25BEEB'!$I$250*100</f>
        <v>3.6556200888281514</v>
      </c>
      <c r="D12" s="10">
        <f>(VLOOKUP(LARGE('[1]Top25BEEB'!$A$5:$C$249,10),'[1]Top25BEEB'!$A$5:$C$249,1,FALSE)/'[1]Top25BEEB'!$I$251*100)</f>
        <v>2.1440737401062018</v>
      </c>
      <c r="E12" s="10">
        <f>VLOOKUP(LARGE('[1]Top25BEEB'!$A$5:$A$249,10),'[1]Top25BEEB'!$A$5:$P$249,14,FALSE)</f>
        <v>1.6</v>
      </c>
      <c r="F12" s="11">
        <f>VLOOKUP(LARGE('[1]Top25BEEB'!$A$5:$A$249,10),'[1]Top25BEEB'!$A$5:$P$249,15,FALSE)</f>
        <v>41301.21</v>
      </c>
      <c r="G12" s="12">
        <f>VLOOKUP(LARGE('[1]Top25BEEB'!$A$5:$A$249,10),'[1]Top25BEEB'!$A$5:$P$249,10,FALSE)/VLOOKUP(LARGE('[1]Top25BEEB'!$A$5:$A$249,10),'[1]Top25BEEB'!$A$5:$P$249,13,FALSE)*100</f>
        <v>38.31775700934579</v>
      </c>
      <c r="H12" s="13">
        <f>VLOOKUP(LARGE('[1]Top25BEEB'!$A$5:$A$249,10),'[1]Top25BEEB'!$A$5:$P$249,11,FALSE)/VLOOKUP(LARGE('[1]Top25BEEB'!$A$5:$A$249,10),'[1]Top25BEEB'!$A$5:$P$249,13,FALSE)*100</f>
        <v>61.6822429906542</v>
      </c>
      <c r="I12" s="12">
        <f>VLOOKUP(LARGE('[1]Top25BEEB'!$A$5:$A$249,10),'[1]Top25BEEB'!$A$5:$P$249,4,FALSE)/VLOOKUP(LARGE('[1]Top25BEEB'!$A$5:$A$249,10),'[1]Top25BEEB'!$A$5:$P$249,9,FALSE)*100</f>
        <v>0</v>
      </c>
      <c r="J12" s="14">
        <f>VLOOKUP(LARGE('[1]Top25BEEB'!$A$5:$A$249,10),'[1]Top25BEEB'!$A$5:$P$249,5,FALSE)/VLOOKUP(LARGE('[1]Top25BEEB'!$A$5:$A$249,10),'[1]Top25BEEB'!$A$5:$P$249,9,FALSE)*100</f>
        <v>11.682242990654206</v>
      </c>
      <c r="K12" s="14">
        <f>VLOOKUP(LARGE('[1]Top25BEEB'!$A$5:$A$249,10),'[1]Top25BEEB'!$A$5:$P$249,6,FALSE)/VLOOKUP(LARGE('[1]Top25BEEB'!$A$5:$A$249,10),'[1]Top25BEEB'!$A$5:$P$249,9,FALSE)*100</f>
        <v>41.58878504672897</v>
      </c>
      <c r="L12" s="14">
        <f>VLOOKUP(LARGE('[1]Top25BEEB'!$A$5:$A$249,10),'[1]Top25BEEB'!$A$5:$P$249,7,FALSE)/VLOOKUP(LARGE('[1]Top25BEEB'!$A$5:$A$249,10),'[1]Top25BEEB'!$A$5:$P$249,9,FALSE)*100</f>
        <v>46.728971962616825</v>
      </c>
    </row>
    <row r="13" spans="1:12" ht="11.25">
      <c r="A13" s="8" t="str">
        <f>VLOOKUP(LARGE('[1]Top25BEEB'!$A$5:$C$249,11),'[1]Top25BEEB'!$A$5:$C$249,3,FALSE)</f>
        <v>CHRONIC OBSTRUCTIVE PULMONARY DISEASE                                             </v>
      </c>
      <c r="B13" s="9">
        <f>VLOOKUP(LARGE('[1]Top25BEEB'!$A$5:$C$249,11),'[1]Top25BEEB'!$A$5:$C$249,1,FALSE)</f>
        <v>165</v>
      </c>
      <c r="C13" s="10">
        <f>VLOOKUP(LARGE('[1]Top25BEEB'!$A$5:$C$249,11),'[1]Top25BEEB'!$A$5:$C$249,1,FALSE)/'[1]Top25BEEB'!$I$250*100</f>
        <v>2.818585582507687</v>
      </c>
      <c r="D13" s="10">
        <f>(VLOOKUP(LARGE('[1]Top25BEEB'!$A$5:$C$249,11),'[1]Top25BEEB'!$A$5:$C$249,1,FALSE)/'[1]Top25BEEB'!$I$251*100)</f>
        <v>1.653140967838894</v>
      </c>
      <c r="E13" s="10">
        <f>VLOOKUP(LARGE('[1]Top25BEEB'!$A$5:$A$249,11),'[1]Top25BEEB'!$A$5:$P$249,14,FALSE)</f>
        <v>3.9</v>
      </c>
      <c r="F13" s="11">
        <f>VLOOKUP(LARGE('[1]Top25BEEB'!$A$5:$A$249,11),'[1]Top25BEEB'!$A$5:$P$249,15,FALSE)</f>
        <v>21740.01</v>
      </c>
      <c r="G13" s="12">
        <f>VLOOKUP(LARGE('[1]Top25BEEB'!$A$5:$A$249,11),'[1]Top25BEEB'!$A$5:$P$249,10,FALSE)/VLOOKUP(LARGE('[1]Top25BEEB'!$A$5:$A$249,11),'[1]Top25BEEB'!$A$5:$P$249,13,FALSE)*100</f>
        <v>49.09090909090909</v>
      </c>
      <c r="H13" s="13">
        <f>VLOOKUP(LARGE('[1]Top25BEEB'!$A$5:$A$249,11),'[1]Top25BEEB'!$A$5:$P$249,11,FALSE)/VLOOKUP(LARGE('[1]Top25BEEB'!$A$5:$A$249,11),'[1]Top25BEEB'!$A$5:$P$249,13,FALSE)*100</f>
        <v>50.90909090909091</v>
      </c>
      <c r="I13" s="12">
        <f>VLOOKUP(LARGE('[1]Top25BEEB'!$A$5:$A$249,11),'[1]Top25BEEB'!$A$5:$P$249,4,FALSE)/VLOOKUP(LARGE('[1]Top25BEEB'!$A$5:$A$249,11),'[1]Top25BEEB'!$A$5:$P$249,9,FALSE)*100</f>
        <v>0</v>
      </c>
      <c r="J13" s="14">
        <f>VLOOKUP(LARGE('[1]Top25BEEB'!$A$5:$A$249,11),'[1]Top25BEEB'!$A$5:$P$249,5,FALSE)/VLOOKUP(LARGE('[1]Top25BEEB'!$A$5:$A$249,11),'[1]Top25BEEB'!$A$5:$P$249,9,FALSE)*100</f>
        <v>4.848484848484849</v>
      </c>
      <c r="K13" s="14">
        <f>VLOOKUP(LARGE('[1]Top25BEEB'!$A$5:$A$249,11),'[1]Top25BEEB'!$A$5:$P$249,6,FALSE)/VLOOKUP(LARGE('[1]Top25BEEB'!$A$5:$A$249,11),'[1]Top25BEEB'!$A$5:$P$249,9,FALSE)*100</f>
        <v>29.09090909090909</v>
      </c>
      <c r="L13" s="14">
        <f>VLOOKUP(LARGE('[1]Top25BEEB'!$A$5:$A$249,11),'[1]Top25BEEB'!$A$5:$P$249,7,FALSE)/VLOOKUP(LARGE('[1]Top25BEEB'!$A$5:$A$249,11),'[1]Top25BEEB'!$A$5:$P$249,9,FALSE)*100</f>
        <v>66.06060606060606</v>
      </c>
    </row>
    <row r="14" spans="1:12" ht="11.25">
      <c r="A14" s="8" t="str">
        <f>VLOOKUP(LARGE('[1]Top25BEEB'!$A$5:$C$249,12),'[1]Top25BEEB'!$A$5:$C$249,3,FALSE)</f>
        <v>RENAL FAILURE                                                                     </v>
      </c>
      <c r="B14" s="9">
        <f>VLOOKUP(LARGE('[1]Top25BEEB'!$A$5:$C$249,12),'[1]Top25BEEB'!$A$5:$C$249,1,FALSE)</f>
        <v>157</v>
      </c>
      <c r="C14" s="10">
        <f>VLOOKUP(LARGE('[1]Top25BEEB'!$A$5:$C$249,12),'[1]Top25BEEB'!$A$5:$C$249,1,FALSE)/'[1]Top25BEEB'!$I$250*100</f>
        <v>2.6819268875982236</v>
      </c>
      <c r="D14" s="10">
        <f>(VLOOKUP(LARGE('[1]Top25BEEB'!$A$5:$C$249,12),'[1]Top25BEEB'!$A$5:$C$249,1,FALSE)/'[1]Top25BEEB'!$I$251*100)</f>
        <v>1.5729886784891294</v>
      </c>
      <c r="E14" s="10">
        <f>VLOOKUP(LARGE('[1]Top25BEEB'!$A$5:$A$249,12),'[1]Top25BEEB'!$A$5:$P$249,14,FALSE)</f>
        <v>6.1</v>
      </c>
      <c r="F14" s="11">
        <f>VLOOKUP(LARGE('[1]Top25BEEB'!$A$5:$A$249,12),'[1]Top25BEEB'!$A$5:$P$249,15,FALSE)</f>
        <v>33835.27</v>
      </c>
      <c r="G14" s="12">
        <f>VLOOKUP(LARGE('[1]Top25BEEB'!$A$5:$A$249,12),'[1]Top25BEEB'!$A$5:$P$249,10,FALSE)/VLOOKUP(LARGE('[1]Top25BEEB'!$A$5:$A$249,12),'[1]Top25BEEB'!$A$5:$P$249,13,FALSE)*100</f>
        <v>43.94904458598726</v>
      </c>
      <c r="H14" s="13">
        <f>VLOOKUP(LARGE('[1]Top25BEEB'!$A$5:$A$249,12),'[1]Top25BEEB'!$A$5:$P$249,11,FALSE)/VLOOKUP(LARGE('[1]Top25BEEB'!$A$5:$A$249,12),'[1]Top25BEEB'!$A$5:$P$249,13,FALSE)*100</f>
        <v>56.05095541401274</v>
      </c>
      <c r="I14" s="12">
        <f>VLOOKUP(LARGE('[1]Top25BEEB'!$A$5:$A$249,12),'[1]Top25BEEB'!$A$5:$P$249,4,FALSE)/VLOOKUP(LARGE('[1]Top25BEEB'!$A$5:$A$249,12),'[1]Top25BEEB'!$A$5:$P$249,9,FALSE)*100</f>
        <v>0</v>
      </c>
      <c r="J14" s="14">
        <f>VLOOKUP(LARGE('[1]Top25BEEB'!$A$5:$A$249,12),'[1]Top25BEEB'!$A$5:$P$249,5,FALSE)/VLOOKUP(LARGE('[1]Top25BEEB'!$A$5:$A$249,12),'[1]Top25BEEB'!$A$5:$P$249,9,FALSE)*100</f>
        <v>10.191082802547772</v>
      </c>
      <c r="K14" s="14">
        <f>VLOOKUP(LARGE('[1]Top25BEEB'!$A$5:$A$249,12),'[1]Top25BEEB'!$A$5:$P$249,6,FALSE)/VLOOKUP(LARGE('[1]Top25BEEB'!$A$5:$A$249,12),'[1]Top25BEEB'!$A$5:$P$249,9,FALSE)*100</f>
        <v>21.019108280254777</v>
      </c>
      <c r="L14" s="14">
        <f>VLOOKUP(LARGE('[1]Top25BEEB'!$A$5:$A$249,12),'[1]Top25BEEB'!$A$5:$P$249,7,FALSE)/VLOOKUP(LARGE('[1]Top25BEEB'!$A$5:$A$249,12),'[1]Top25BEEB'!$A$5:$P$249,9,FALSE)*100</f>
        <v>68.78980891719745</v>
      </c>
    </row>
    <row r="15" spans="1:12" ht="11.25">
      <c r="A15" s="8" t="str">
        <f>VLOOKUP(LARGE('[1]Top25BEEB'!$A$5:$C$249,13),'[1]Top25BEEB'!$A$5:$C$249,3,FALSE)</f>
        <v>PULMONARY EDEMA &amp; RESPIRATORY FAILURE                                             </v>
      </c>
      <c r="B15" s="9">
        <f>VLOOKUP(LARGE('[1]Top25BEEB'!$A$5:$C$249,13),'[1]Top25BEEB'!$A$5:$C$249,1,FALSE)</f>
        <v>145</v>
      </c>
      <c r="C15" s="10">
        <f>VLOOKUP(LARGE('[1]Top25BEEB'!$A$5:$C$249,13),'[1]Top25BEEB'!$A$5:$C$249,1,FALSE)/'[1]Top25BEEB'!$I$250*100</f>
        <v>2.476938845234028</v>
      </c>
      <c r="D15" s="10">
        <f>(VLOOKUP(LARGE('[1]Top25BEEB'!$A$5:$C$249,13),'[1]Top25BEEB'!$A$5:$C$249,1,FALSE)/'[1]Top25BEEB'!$I$251*100)</f>
        <v>1.4527602444644825</v>
      </c>
      <c r="E15" s="10">
        <f>VLOOKUP(LARGE('[1]Top25BEEB'!$A$5:$A$249,13),'[1]Top25BEEB'!$A$5:$P$249,14,FALSE)</f>
        <v>5.3</v>
      </c>
      <c r="F15" s="11">
        <f>VLOOKUP(LARGE('[1]Top25BEEB'!$A$5:$A$249,13),'[1]Top25BEEB'!$A$5:$P$249,15,FALSE)</f>
        <v>37257.18</v>
      </c>
      <c r="G15" s="12">
        <f>VLOOKUP(LARGE('[1]Top25BEEB'!$A$5:$A$249,13),'[1]Top25BEEB'!$A$5:$P$249,10,FALSE)/VLOOKUP(LARGE('[1]Top25BEEB'!$A$5:$A$249,13),'[1]Top25BEEB'!$A$5:$P$249,13,FALSE)*100</f>
        <v>41.37931034482759</v>
      </c>
      <c r="H15" s="13">
        <f>VLOOKUP(LARGE('[1]Top25BEEB'!$A$5:$A$249,13),'[1]Top25BEEB'!$A$5:$P$249,11,FALSE)/VLOOKUP(LARGE('[1]Top25BEEB'!$A$5:$A$249,13),'[1]Top25BEEB'!$A$5:$P$249,13,FALSE)*100</f>
        <v>58.620689655172406</v>
      </c>
      <c r="I15" s="12">
        <f>VLOOKUP(LARGE('[1]Top25BEEB'!$A$5:$A$249,13),'[1]Top25BEEB'!$A$5:$P$249,4,FALSE)/VLOOKUP(LARGE('[1]Top25BEEB'!$A$5:$A$249,13),'[1]Top25BEEB'!$A$5:$P$249,9,FALSE)*100</f>
        <v>0</v>
      </c>
      <c r="J15" s="14">
        <f>VLOOKUP(LARGE('[1]Top25BEEB'!$A$5:$A$249,13),'[1]Top25BEEB'!$A$5:$P$249,5,FALSE)/VLOOKUP(LARGE('[1]Top25BEEB'!$A$5:$A$249,13),'[1]Top25BEEB'!$A$5:$P$249,9,FALSE)*100</f>
        <v>8.96551724137931</v>
      </c>
      <c r="K15" s="14">
        <f>VLOOKUP(LARGE('[1]Top25BEEB'!$A$5:$A$249,13),'[1]Top25BEEB'!$A$5:$P$249,6,FALSE)/VLOOKUP(LARGE('[1]Top25BEEB'!$A$5:$A$249,13),'[1]Top25BEEB'!$A$5:$P$249,9,FALSE)*100</f>
        <v>28.965517241379313</v>
      </c>
      <c r="L15" s="14">
        <f>VLOOKUP(LARGE('[1]Top25BEEB'!$A$5:$A$249,13),'[1]Top25BEEB'!$A$5:$P$249,7,FALSE)/VLOOKUP(LARGE('[1]Top25BEEB'!$A$5:$A$249,13),'[1]Top25BEEB'!$A$5:$P$249,9,FALSE)*100</f>
        <v>62.06896551724138</v>
      </c>
    </row>
    <row r="16" spans="1:12" ht="11.25">
      <c r="A16" s="8" t="str">
        <f>VLOOKUP(LARGE('[1]Top25BEEB'!$A$5:$C$249,14),'[1]Top25BEEB'!$A$5:$C$249,3,FALSE)</f>
        <v>INTESTINAL OBSTRUCTION                                                            </v>
      </c>
      <c r="B16" s="9">
        <f>VLOOKUP(LARGE('[1]Top25BEEB'!$A$5:$C$249,14),'[1]Top25BEEB'!$A$5:$C$249,1,FALSE)</f>
        <v>141</v>
      </c>
      <c r="C16" s="10">
        <f>VLOOKUP(LARGE('[1]Top25BEEB'!$A$5:$C$249,14),'[1]Top25BEEB'!$A$5:$C$249,1,FALSE)/'[1]Top25BEEB'!$I$250*100</f>
        <v>2.4086094977792962</v>
      </c>
      <c r="D16" s="10">
        <f>(VLOOKUP(LARGE('[1]Top25BEEB'!$A$5:$C$249,14),'[1]Top25BEEB'!$A$5:$C$249,1,FALSE)/'[1]Top25BEEB'!$I$251*100)</f>
        <v>1.4126840997896002</v>
      </c>
      <c r="E16" s="10">
        <f>VLOOKUP(LARGE('[1]Top25BEEB'!$A$5:$A$249,14),'[1]Top25BEEB'!$A$5:$P$249,14,FALSE)</f>
        <v>3.8</v>
      </c>
      <c r="F16" s="11">
        <f>VLOOKUP(LARGE('[1]Top25BEEB'!$A$5:$A$249,14),'[1]Top25BEEB'!$A$5:$P$249,15,FALSE)</f>
        <v>24281</v>
      </c>
      <c r="G16" s="12">
        <f>VLOOKUP(LARGE('[1]Top25BEEB'!$A$5:$A$249,14),'[1]Top25BEEB'!$A$5:$P$249,10,FALSE)/VLOOKUP(LARGE('[1]Top25BEEB'!$A$5:$A$249,14),'[1]Top25BEEB'!$A$5:$P$249,13,FALSE)*100</f>
        <v>34.751773049645394</v>
      </c>
      <c r="H16" s="13">
        <f>VLOOKUP(LARGE('[1]Top25BEEB'!$A$5:$A$249,14),'[1]Top25BEEB'!$A$5:$P$249,11,FALSE)/VLOOKUP(LARGE('[1]Top25BEEB'!$A$5:$A$249,14),'[1]Top25BEEB'!$A$5:$P$249,13,FALSE)*100</f>
        <v>65.24822695035462</v>
      </c>
      <c r="I16" s="12">
        <f>VLOOKUP(LARGE('[1]Top25BEEB'!$A$5:$A$249,14),'[1]Top25BEEB'!$A$5:$P$249,4,FALSE)/VLOOKUP(LARGE('[1]Top25BEEB'!$A$5:$A$249,14),'[1]Top25BEEB'!$A$5:$P$249,9,FALSE)*100</f>
        <v>0.7092198581560284</v>
      </c>
      <c r="J16" s="14">
        <f>VLOOKUP(LARGE('[1]Top25BEEB'!$A$5:$A$249,14),'[1]Top25BEEB'!$A$5:$P$249,5,FALSE)/VLOOKUP(LARGE('[1]Top25BEEB'!$A$5:$A$249,14),'[1]Top25BEEB'!$A$5:$P$249,9,FALSE)*100</f>
        <v>7.092198581560284</v>
      </c>
      <c r="K16" s="14">
        <f>VLOOKUP(LARGE('[1]Top25BEEB'!$A$5:$A$249,14),'[1]Top25BEEB'!$A$5:$P$249,6,FALSE)/VLOOKUP(LARGE('[1]Top25BEEB'!$A$5:$A$249,14),'[1]Top25BEEB'!$A$5:$P$249,9,FALSE)*100</f>
        <v>39.00709219858156</v>
      </c>
      <c r="L16" s="14">
        <f>VLOOKUP(LARGE('[1]Top25BEEB'!$A$5:$A$249,14),'[1]Top25BEEB'!$A$5:$P$249,7,FALSE)/VLOOKUP(LARGE('[1]Top25BEEB'!$A$5:$A$249,14),'[1]Top25BEEB'!$A$5:$P$249,9,FALSE)*100</f>
        <v>53.191489361702125</v>
      </c>
    </row>
    <row r="17" spans="1:12" ht="11.25">
      <c r="A17" s="8" t="str">
        <f>VLOOKUP(LARGE('[1]Top25BEEB'!$A$5:$C$249,15),'[1]Top25BEEB'!$A$5:$C$249,3,FALSE)</f>
        <v>MAJOR SMALL &amp; LARGE BOWEL PROCEDURES                                              </v>
      </c>
      <c r="B17" s="28">
        <f>VLOOKUP(LARGE('[1]Top25BEEB'!$A$5:$C$249,15),'[1]Top25BEEB'!$A$5:$C$249,1,FALSE)</f>
        <v>133</v>
      </c>
      <c r="C17" s="10">
        <f>VLOOKUP(LARGE('[1]Top25BEEB'!$A$5:$C$249,15),'[1]Top25BEEB'!$A$5:$C$249,1,FALSE)/'[1]Top25BEEB'!$I$250*100</f>
        <v>2.2719508028698323</v>
      </c>
      <c r="D17" s="10">
        <f>(VLOOKUP(LARGE('[1]Top25BEEB'!$A$5:$C$249,15),'[1]Top25BEEB'!$A$5:$C$249,1,FALSE)/'[1]Top25BEEB'!$I$251*100)</f>
        <v>1.3325318104398358</v>
      </c>
      <c r="E17" s="10">
        <f>VLOOKUP(LARGE('[1]Top25BEEB'!$A$5:$A$249,15),'[1]Top25BEEB'!$A$5:$P$249,14,FALSE)</f>
        <v>8.4</v>
      </c>
      <c r="F17" s="11">
        <f>VLOOKUP(LARGE('[1]Top25BEEB'!$A$5:$A$249,15),'[1]Top25BEEB'!$A$5:$P$249,15,FALSE)</f>
        <v>70185.19</v>
      </c>
      <c r="G17" s="12">
        <f>VLOOKUP(LARGE('[1]Top25BEEB'!$A$5:$A$249,15),'[1]Top25BEEB'!$A$5:$P$249,10,FALSE)/VLOOKUP(LARGE('[1]Top25BEEB'!$A$5:$A$249,15),'[1]Top25BEEB'!$A$5:$P$249,13,FALSE)*100</f>
        <v>45.86466165413533</v>
      </c>
      <c r="H17" s="13">
        <f>VLOOKUP(LARGE('[1]Top25BEEB'!$A$5:$A$249,15),'[1]Top25BEEB'!$A$5:$P$249,11,FALSE)/VLOOKUP(LARGE('[1]Top25BEEB'!$A$5:$A$249,15),'[1]Top25BEEB'!$A$5:$P$249,13,FALSE)*100</f>
        <v>54.13533834586466</v>
      </c>
      <c r="I17" s="12">
        <f>VLOOKUP(LARGE('[1]Top25BEEB'!$A$5:$A$249,15),'[1]Top25BEEB'!$A$5:$P$249,4,FALSE)/VLOOKUP(LARGE('[1]Top25BEEB'!$A$5:$A$249,15),'[1]Top25BEEB'!$A$5:$P$249,9,FALSE)*100</f>
        <v>0</v>
      </c>
      <c r="J17" s="14">
        <f>VLOOKUP(LARGE('[1]Top25BEEB'!$A$5:$A$249,15),'[1]Top25BEEB'!$A$5:$P$249,5,FALSE)/VLOOKUP(LARGE('[1]Top25BEEB'!$A$5:$A$249,15),'[1]Top25BEEB'!$A$5:$P$249,9,FALSE)*100</f>
        <v>9.022556390977442</v>
      </c>
      <c r="K17" s="14">
        <f>VLOOKUP(LARGE('[1]Top25BEEB'!$A$5:$A$249,15),'[1]Top25BEEB'!$A$5:$P$249,6,FALSE)/VLOOKUP(LARGE('[1]Top25BEEB'!$A$5:$A$249,15),'[1]Top25BEEB'!$A$5:$P$249,9,FALSE)*100</f>
        <v>30.075187969924812</v>
      </c>
      <c r="L17" s="14">
        <f>VLOOKUP(LARGE('[1]Top25BEEB'!$A$5:$A$249,15),'[1]Top25BEEB'!$A$5:$P$249,7,FALSE)/VLOOKUP(LARGE('[1]Top25BEEB'!$A$5:$A$249,15),'[1]Top25BEEB'!$A$5:$P$249,9,FALSE)*100</f>
        <v>60.902255639097746</v>
      </c>
    </row>
    <row r="18" spans="1:12" ht="11.25">
      <c r="A18" s="8" t="str">
        <f>VLOOKUP(LARGE('[1]Top25BEEB'!$A$5:$C$249,16),'[1]Top25BEEB'!$A$5:$C$249,3,FALSE)</f>
        <v>CELLULITIS &amp; OTHER BACTERIAL SKIN INFECTIONS                                      </v>
      </c>
      <c r="B18" s="9">
        <f>VLOOKUP(LARGE('[1]Top25BEEB'!$A$5:$C$249,16),'[1]Top25BEEB'!$A$5:$C$249,1,FALSE)</f>
        <v>131</v>
      </c>
      <c r="C18" s="10">
        <f>VLOOKUP(LARGE('[1]Top25BEEB'!$A$5:$C$249,16),'[1]Top25BEEB'!$A$5:$C$249,1,FALSE)/'[1]Top25BEEB'!$I$250*100</f>
        <v>2.2377861291424668</v>
      </c>
      <c r="D18" s="10">
        <f>(VLOOKUP(LARGE('[1]Top25BEEB'!$A$5:$C$249,16),'[1]Top25BEEB'!$A$5:$C$249,1,FALSE)/'[1]Top25BEEB'!$I$251*100)</f>
        <v>1.3124937381023944</v>
      </c>
      <c r="E18" s="10">
        <f>VLOOKUP(LARGE('[1]Top25BEEB'!$A$5:$A$249,16),'[1]Top25BEEB'!$A$5:$P$249,14,FALSE)</f>
        <v>3.5</v>
      </c>
      <c r="F18" s="11">
        <f>VLOOKUP(LARGE('[1]Top25BEEB'!$A$5:$A$249,16),'[1]Top25BEEB'!$A$5:$P$249,15,FALSE)</f>
        <v>15486.23</v>
      </c>
      <c r="G18" s="12">
        <f>VLOOKUP(LARGE('[1]Top25BEEB'!$A$5:$A$249,16),'[1]Top25BEEB'!$A$5:$P$249,10,FALSE)/VLOOKUP(LARGE('[1]Top25BEEB'!$A$5:$A$249,16),'[1]Top25BEEB'!$A$5:$P$249,13,FALSE)*100</f>
        <v>49.61832061068702</v>
      </c>
      <c r="H18" s="13">
        <f>VLOOKUP(LARGE('[1]Top25BEEB'!$A$5:$A$249,16),'[1]Top25BEEB'!$A$5:$P$249,11,FALSE)/VLOOKUP(LARGE('[1]Top25BEEB'!$A$5:$A$249,16),'[1]Top25BEEB'!$A$5:$P$249,13,FALSE)*100</f>
        <v>50.38167938931297</v>
      </c>
      <c r="I18" s="12">
        <f>VLOOKUP(LARGE('[1]Top25BEEB'!$A$5:$A$249,16),'[1]Top25BEEB'!$A$5:$P$249,4,FALSE)/VLOOKUP(LARGE('[1]Top25BEEB'!$A$5:$A$249,16),'[1]Top25BEEB'!$A$5:$P$249,9,FALSE)*100</f>
        <v>1.5267175572519083</v>
      </c>
      <c r="J18" s="14">
        <f>VLOOKUP(LARGE('[1]Top25BEEB'!$A$5:$A$249,16),'[1]Top25BEEB'!$A$5:$P$249,5,FALSE)/VLOOKUP(LARGE('[1]Top25BEEB'!$A$5:$A$249,16),'[1]Top25BEEB'!$A$5:$P$249,9,FALSE)*100</f>
        <v>20.610687022900763</v>
      </c>
      <c r="K18" s="14">
        <f>VLOOKUP(LARGE('[1]Top25BEEB'!$A$5:$A$249,16),'[1]Top25BEEB'!$A$5:$P$249,6,FALSE)/VLOOKUP(LARGE('[1]Top25BEEB'!$A$5:$A$249,16),'[1]Top25BEEB'!$A$5:$P$249,9,FALSE)*100</f>
        <v>38.16793893129771</v>
      </c>
      <c r="L18" s="14">
        <f>VLOOKUP(LARGE('[1]Top25BEEB'!$A$5:$A$249,16),'[1]Top25BEEB'!$A$5:$P$249,7,FALSE)/VLOOKUP(LARGE('[1]Top25BEEB'!$A$5:$A$249,16),'[1]Top25BEEB'!$A$5:$P$249,9,FALSE)*100</f>
        <v>39.69465648854962</v>
      </c>
    </row>
    <row r="19" spans="1:12" ht="11.25">
      <c r="A19" s="8" t="str">
        <f>VLOOKUP(LARGE('[1]Top25BEEB'!$A$5:$C$249,17),'[1]Top25BEEB'!$A$5:$C$249,3,FALSE)</f>
        <v>CVA &amp; PRECEREBRAL OCCLUSION  W INFARCT                                            </v>
      </c>
      <c r="B19" s="9">
        <f>VLOOKUP(LARGE('[1]Top25BEEB'!$A$5:$C$249,17),'[1]Top25BEEB'!$A$5:$C$249,1,FALSE)</f>
        <v>130</v>
      </c>
      <c r="C19" s="10">
        <f>VLOOKUP(LARGE('[1]Top25BEEB'!$A$5:$C$249,17),'[1]Top25BEEB'!$A$5:$C$249,1,FALSE)/'[1]Top25BEEB'!$I$250*100</f>
        <v>2.220703792278784</v>
      </c>
      <c r="D19" s="10">
        <f>(VLOOKUP(LARGE('[1]Top25BEEB'!$A$5:$C$249,17),'[1]Top25BEEB'!$A$5:$C$249,1,FALSE)/'[1]Top25BEEB'!$I$251*100)</f>
        <v>1.302474701933674</v>
      </c>
      <c r="E19" s="10">
        <f>VLOOKUP(LARGE('[1]Top25BEEB'!$A$5:$A$249,17),'[1]Top25BEEB'!$A$5:$P$249,14,FALSE)</f>
        <v>4.2</v>
      </c>
      <c r="F19" s="11">
        <f>VLOOKUP(LARGE('[1]Top25BEEB'!$A$5:$A$249,17),'[1]Top25BEEB'!$A$5:$P$249,15,FALSE)</f>
        <v>27364.58</v>
      </c>
      <c r="G19" s="12">
        <f>VLOOKUP(LARGE('[1]Top25BEEB'!$A$5:$A$249,17),'[1]Top25BEEB'!$A$5:$P$249,10,FALSE)/VLOOKUP(LARGE('[1]Top25BEEB'!$A$5:$A$249,17),'[1]Top25BEEB'!$A$5:$P$249,13,FALSE)*100</f>
        <v>46.92307692307692</v>
      </c>
      <c r="H19" s="13">
        <f>VLOOKUP(LARGE('[1]Top25BEEB'!$A$5:$A$249,17),'[1]Top25BEEB'!$A$5:$P$249,11,FALSE)/VLOOKUP(LARGE('[1]Top25BEEB'!$A$5:$A$249,17),'[1]Top25BEEB'!$A$5:$P$249,13,FALSE)*100</f>
        <v>53.07692307692308</v>
      </c>
      <c r="I19" s="12">
        <f>VLOOKUP(LARGE('[1]Top25BEEB'!$A$5:$A$249,17),'[1]Top25BEEB'!$A$5:$P$249,4,FALSE)/VLOOKUP(LARGE('[1]Top25BEEB'!$A$5:$A$249,17),'[1]Top25BEEB'!$A$5:$P$249,9,FALSE)*100</f>
        <v>0</v>
      </c>
      <c r="J19" s="14">
        <f>VLOOKUP(LARGE('[1]Top25BEEB'!$A$5:$A$249,17),'[1]Top25BEEB'!$A$5:$P$249,5,FALSE)/VLOOKUP(LARGE('[1]Top25BEEB'!$A$5:$A$249,17),'[1]Top25BEEB'!$A$5:$P$249,9,FALSE)*100</f>
        <v>1.5384615384615385</v>
      </c>
      <c r="K19" s="14">
        <f>VLOOKUP(LARGE('[1]Top25BEEB'!$A$5:$A$249,17),'[1]Top25BEEB'!$A$5:$P$249,6,FALSE)/VLOOKUP(LARGE('[1]Top25BEEB'!$A$5:$A$249,17),'[1]Top25BEEB'!$A$5:$P$249,9,FALSE)*100</f>
        <v>33.07692307692307</v>
      </c>
      <c r="L19" s="14">
        <f>VLOOKUP(LARGE('[1]Top25BEEB'!$A$5:$A$249,17),'[1]Top25BEEB'!$A$5:$P$249,7,FALSE)/VLOOKUP(LARGE('[1]Top25BEEB'!$A$5:$A$249,17),'[1]Top25BEEB'!$A$5:$P$249,9,FALSE)*100</f>
        <v>65.38461538461539</v>
      </c>
    </row>
    <row r="20" spans="1:12" ht="11.25">
      <c r="A20" s="8" t="str">
        <f>VLOOKUP(LARGE('[1]Top25BEEB'!$A$5:$C$249,18),'[1]Top25BEEB'!$A$5:$C$249,3,FALSE)</f>
        <v>NONTRAUMATIC STUPOR &amp; COMA                                                        </v>
      </c>
      <c r="B20" s="9">
        <f>VLOOKUP(LARGE('[1]Top25BEEB'!$A$5:$C$249,18),'[1]Top25BEEB'!$A$5:$C$249,1,FALSE)</f>
        <v>129</v>
      </c>
      <c r="C20" s="10">
        <f>VLOOKUP(LARGE('[1]Top25BEEB'!$A$5:$C$249,18),'[1]Top25BEEB'!$A$5:$C$249,1,FALSE)/'[1]Top25BEEB'!$I$250*100</f>
        <v>2.203621455415101</v>
      </c>
      <c r="D20" s="10">
        <f>(VLOOKUP(LARGE('[1]Top25BEEB'!$A$5:$C$249,18),'[1]Top25BEEB'!$A$5:$C$249,1,FALSE)/'[1]Top25BEEB'!$I$251*100)</f>
        <v>1.2924556657649533</v>
      </c>
      <c r="E20" s="10">
        <f>VLOOKUP(LARGE('[1]Top25BEEB'!$A$5:$A$249,18),'[1]Top25BEEB'!$A$5:$P$249,14,FALSE)</f>
        <v>5.4</v>
      </c>
      <c r="F20" s="11">
        <f>VLOOKUP(LARGE('[1]Top25BEEB'!$A$5:$A$249,18),'[1]Top25BEEB'!$A$5:$P$249,15,FALSE)</f>
        <v>28100.46</v>
      </c>
      <c r="G20" s="12">
        <f>VLOOKUP(LARGE('[1]Top25BEEB'!$A$5:$A$249,18),'[1]Top25BEEB'!$A$5:$P$249,10,FALSE)/VLOOKUP(LARGE('[1]Top25BEEB'!$A$5:$A$249,18),'[1]Top25BEEB'!$A$5:$P$249,13,FALSE)*100</f>
        <v>41.86046511627907</v>
      </c>
      <c r="H20" s="13">
        <f>VLOOKUP(LARGE('[1]Top25BEEB'!$A$5:$A$249,18),'[1]Top25BEEB'!$A$5:$P$249,11,FALSE)/VLOOKUP(LARGE('[1]Top25BEEB'!$A$5:$A$249,18),'[1]Top25BEEB'!$A$5:$P$249,13,FALSE)*100</f>
        <v>58.139534883720934</v>
      </c>
      <c r="I20" s="12">
        <f>VLOOKUP(LARGE('[1]Top25BEEB'!$A$5:$A$249,18),'[1]Top25BEEB'!$A$5:$P$249,4,FALSE)/VLOOKUP(LARGE('[1]Top25BEEB'!$A$5:$A$249,18),'[1]Top25BEEB'!$A$5:$P$249,9,FALSE)*100</f>
        <v>0</v>
      </c>
      <c r="J20" s="14">
        <f>VLOOKUP(LARGE('[1]Top25BEEB'!$A$5:$A$249,18),'[1]Top25BEEB'!$A$5:$P$249,5,FALSE)/VLOOKUP(LARGE('[1]Top25BEEB'!$A$5:$A$249,18),'[1]Top25BEEB'!$A$5:$P$249,9,FALSE)*100</f>
        <v>5.426356589147287</v>
      </c>
      <c r="K20" s="14">
        <f>VLOOKUP(LARGE('[1]Top25BEEB'!$A$5:$A$249,18),'[1]Top25BEEB'!$A$5:$P$249,6,FALSE)/VLOOKUP(LARGE('[1]Top25BEEB'!$A$5:$A$249,18),'[1]Top25BEEB'!$A$5:$P$249,9,FALSE)*100</f>
        <v>21.705426356589147</v>
      </c>
      <c r="L20" s="14">
        <f>VLOOKUP(LARGE('[1]Top25BEEB'!$A$5:$A$249,18),'[1]Top25BEEB'!$A$5:$P$249,7,FALSE)/VLOOKUP(LARGE('[1]Top25BEEB'!$A$5:$A$249,18),'[1]Top25BEEB'!$A$5:$P$249,9,FALSE)*100</f>
        <v>72.86821705426357</v>
      </c>
    </row>
    <row r="21" spans="1:12" ht="11.25">
      <c r="A21" s="8" t="str">
        <f>VLOOKUP(LARGE('[1]Top25BEEB'!$A$5:$C$249,19),'[1]Top25BEEB'!$A$5:$C$249,3,FALSE)</f>
        <v>KIDNEY &amp; URINARY TRACT INFECTIONS                                                 </v>
      </c>
      <c r="B21" s="9">
        <f>VLOOKUP(LARGE('[1]Top25BEEB'!$A$5:$C$249,19),'[1]Top25BEEB'!$A$5:$C$249,1,FALSE)</f>
        <v>120</v>
      </c>
      <c r="C21" s="10">
        <f>VLOOKUP(LARGE('[1]Top25BEEB'!$A$5:$C$249,19),'[1]Top25BEEB'!$A$5:$C$249,1,FALSE)/'[1]Top25BEEB'!$I$250*100</f>
        <v>2.0498804236419543</v>
      </c>
      <c r="D21" s="10">
        <f>(VLOOKUP(LARGE('[1]Top25BEEB'!$A$5:$C$249,19),'[1]Top25BEEB'!$A$5:$C$249,1,FALSE)/'[1]Top25BEEB'!$I$251*100)</f>
        <v>1.2022843402464682</v>
      </c>
      <c r="E21" s="10">
        <f>VLOOKUP(LARGE('[1]Top25BEEB'!$A$5:$A$249,19),'[1]Top25BEEB'!$A$5:$P$249,14,FALSE)</f>
        <v>3.8</v>
      </c>
      <c r="F21" s="11">
        <f>VLOOKUP(LARGE('[1]Top25BEEB'!$A$5:$A$249,19),'[1]Top25BEEB'!$A$5:$P$249,15,FALSE)</f>
        <v>19476.54</v>
      </c>
      <c r="G21" s="12">
        <f>VLOOKUP(LARGE('[1]Top25BEEB'!$A$5:$A$249,19),'[1]Top25BEEB'!$A$5:$P$249,10,FALSE)/VLOOKUP(LARGE('[1]Top25BEEB'!$A$5:$A$249,19),'[1]Top25BEEB'!$A$5:$P$249,13,FALSE)*100</f>
        <v>35</v>
      </c>
      <c r="H21" s="13">
        <f>VLOOKUP(LARGE('[1]Top25BEEB'!$A$5:$A$249,19),'[1]Top25BEEB'!$A$5:$P$249,11,FALSE)/VLOOKUP(LARGE('[1]Top25BEEB'!$A$5:$A$249,19),'[1]Top25BEEB'!$A$5:$P$249,13,FALSE)*100</f>
        <v>65</v>
      </c>
      <c r="I21" s="12">
        <f>VLOOKUP(LARGE('[1]Top25BEEB'!$A$5:$A$249,19),'[1]Top25BEEB'!$A$5:$P$249,4,FALSE)/VLOOKUP(LARGE('[1]Top25BEEB'!$A$5:$A$249,19),'[1]Top25BEEB'!$A$5:$P$249,9,FALSE)*100</f>
        <v>4.166666666666666</v>
      </c>
      <c r="J21" s="14">
        <f>VLOOKUP(LARGE('[1]Top25BEEB'!$A$5:$A$249,19),'[1]Top25BEEB'!$A$5:$P$249,5,FALSE)/VLOOKUP(LARGE('[1]Top25BEEB'!$A$5:$A$249,19),'[1]Top25BEEB'!$A$5:$P$249,9,FALSE)*100</f>
        <v>7.5</v>
      </c>
      <c r="K21" s="14">
        <f>VLOOKUP(LARGE('[1]Top25BEEB'!$A$5:$A$249,19),'[1]Top25BEEB'!$A$5:$P$249,6,FALSE)/VLOOKUP(LARGE('[1]Top25BEEB'!$A$5:$A$249,19),'[1]Top25BEEB'!$A$5:$P$249,9,FALSE)*100</f>
        <v>11.666666666666666</v>
      </c>
      <c r="L21" s="14">
        <f>VLOOKUP(LARGE('[1]Top25BEEB'!$A$5:$A$249,19),'[1]Top25BEEB'!$A$5:$P$249,7,FALSE)/VLOOKUP(LARGE('[1]Top25BEEB'!$A$5:$A$249,19),'[1]Top25BEEB'!$A$5:$P$249,9,FALSE)*100</f>
        <v>76.66666666666667</v>
      </c>
    </row>
    <row r="22" spans="1:12" ht="11.25">
      <c r="A22" s="8" t="str">
        <f>VLOOKUP(LARGE('[1]Top25BEEB'!$A$5:$C$249,20),'[1]Top25BEEB'!$A$5:$C$249,3,FALSE)</f>
        <v>PERCUTANEOUS CARDIOVASCULAR PROCEDURES W/O AMI                                    </v>
      </c>
      <c r="B22" s="9">
        <f>VLOOKUP(LARGE('[1]Top25BEEB'!$A$5:$C$249,20),'[1]Top25BEEB'!$A$5:$C$249,1,FALSE)</f>
        <v>113</v>
      </c>
      <c r="C22" s="10">
        <f>VLOOKUP(LARGE('[1]Top25BEEB'!$A$5:$C$249,20),'[1]Top25BEEB'!$A$5:$C$249,1,FALSE)/'[1]Top25BEEB'!$I$250*100</f>
        <v>1.9303040655961736</v>
      </c>
      <c r="D22" s="10">
        <f>(VLOOKUP(LARGE('[1]Top25BEEB'!$A$5:$C$249,20),'[1]Top25BEEB'!$A$5:$C$249,1,FALSE)/'[1]Top25BEEB'!$I$251*100)</f>
        <v>1.1321510870654243</v>
      </c>
      <c r="E22" s="10">
        <f>VLOOKUP(LARGE('[1]Top25BEEB'!$A$5:$A$249,20),'[1]Top25BEEB'!$A$5:$P$249,14,FALSE)</f>
        <v>2.3</v>
      </c>
      <c r="F22" s="11">
        <f>VLOOKUP(LARGE('[1]Top25BEEB'!$A$5:$A$249,20),'[1]Top25BEEB'!$A$5:$P$249,15,FALSE)</f>
        <v>45933.72</v>
      </c>
      <c r="G22" s="12">
        <f>VLOOKUP(LARGE('[1]Top25BEEB'!$A$5:$A$249,20),'[1]Top25BEEB'!$A$5:$P$249,10,FALSE)/VLOOKUP(LARGE('[1]Top25BEEB'!$A$5:$A$249,20),'[1]Top25BEEB'!$A$5:$P$249,13,FALSE)*100</f>
        <v>60.17699115044248</v>
      </c>
      <c r="H22" s="13">
        <f>VLOOKUP(LARGE('[1]Top25BEEB'!$A$5:$A$249,20),'[1]Top25BEEB'!$A$5:$P$249,11,FALSE)/VLOOKUP(LARGE('[1]Top25BEEB'!$A$5:$A$249,20),'[1]Top25BEEB'!$A$5:$P$249,13,FALSE)*100</f>
        <v>39.823008849557525</v>
      </c>
      <c r="I22" s="12">
        <f>VLOOKUP(LARGE('[1]Top25BEEB'!$A$5:$A$249,20),'[1]Top25BEEB'!$A$5:$P$249,4,FALSE)/VLOOKUP(LARGE('[1]Top25BEEB'!$A$5:$A$249,20),'[1]Top25BEEB'!$A$5:$P$249,9,FALSE)*100</f>
        <v>0</v>
      </c>
      <c r="J22" s="14">
        <f>VLOOKUP(LARGE('[1]Top25BEEB'!$A$5:$A$249,20),'[1]Top25BEEB'!$A$5:$P$249,5,FALSE)/VLOOKUP(LARGE('[1]Top25BEEB'!$A$5:$A$249,20),'[1]Top25BEEB'!$A$5:$P$249,9,FALSE)*100</f>
        <v>4.424778761061947</v>
      </c>
      <c r="K22" s="14">
        <f>VLOOKUP(LARGE('[1]Top25BEEB'!$A$5:$A$249,20),'[1]Top25BEEB'!$A$5:$P$249,6,FALSE)/VLOOKUP(LARGE('[1]Top25BEEB'!$A$5:$A$249,20),'[1]Top25BEEB'!$A$5:$P$249,9,FALSE)*100</f>
        <v>31.858407079646017</v>
      </c>
      <c r="L22" s="14">
        <f>VLOOKUP(LARGE('[1]Top25BEEB'!$A$5:$A$249,20),'[1]Top25BEEB'!$A$5:$P$249,7,FALSE)/VLOOKUP(LARGE('[1]Top25BEEB'!$A$5:$A$249,20),'[1]Top25BEEB'!$A$5:$P$249,9,FALSE)*100</f>
        <v>63.716814159292035</v>
      </c>
    </row>
    <row r="23" spans="1:12" ht="11.25">
      <c r="A23" s="8" t="str">
        <f>VLOOKUP(LARGE('[1]Top25BEEB'!$A$5:$C$249,21),'[1]Top25BEEB'!$A$5:$C$249,3,FALSE)</f>
        <v>OTHER ANEMIA &amp; DISORDERS OF BLOOD &amp; BLOOD-FORMING ORGANS                          </v>
      </c>
      <c r="B23" s="9">
        <f>VLOOKUP(LARGE('[1]Top25BEEB'!$A$5:$C$249,21),'[1]Top25BEEB'!$A$5:$C$249,1,FALSE)</f>
        <v>105</v>
      </c>
      <c r="C23" s="10">
        <f>VLOOKUP(LARGE('[1]Top25BEEB'!$A$5:$C$249,21),'[1]Top25BEEB'!$A$5:$C$249,1,FALSE)/'[1]Top25BEEB'!$I$250*100</f>
        <v>1.7936453706867101</v>
      </c>
      <c r="D23" s="10">
        <f>(VLOOKUP(LARGE('[1]Top25BEEB'!$A$5:$C$249,21),'[1]Top25BEEB'!$A$5:$C$249,1,FALSE)/'[1]Top25BEEB'!$I$251*100)</f>
        <v>1.0519987977156597</v>
      </c>
      <c r="E23" s="10">
        <f>VLOOKUP(LARGE('[1]Top25BEEB'!$A$5:$A$249,21),'[1]Top25BEEB'!$A$5:$P$249,14,FALSE)</f>
        <v>3.5</v>
      </c>
      <c r="F23" s="11">
        <f>VLOOKUP(LARGE('[1]Top25BEEB'!$A$5:$A$249,21),'[1]Top25BEEB'!$A$5:$P$249,15,FALSE)</f>
        <v>24883.19</v>
      </c>
      <c r="G23" s="12">
        <f>VLOOKUP(LARGE('[1]Top25BEEB'!$A$5:$A$249,21),'[1]Top25BEEB'!$A$5:$P$249,10,FALSE)/VLOOKUP(LARGE('[1]Top25BEEB'!$A$5:$A$249,21),'[1]Top25BEEB'!$A$5:$P$249,13,FALSE)*100</f>
        <v>52.38095238095239</v>
      </c>
      <c r="H23" s="13">
        <f>VLOOKUP(LARGE('[1]Top25BEEB'!$A$5:$A$249,21),'[1]Top25BEEB'!$A$5:$P$249,11,FALSE)/VLOOKUP(LARGE('[1]Top25BEEB'!$A$5:$A$249,21),'[1]Top25BEEB'!$A$5:$P$249,13,FALSE)*100</f>
        <v>47.61904761904761</v>
      </c>
      <c r="I23" s="12">
        <f>VLOOKUP(LARGE('[1]Top25BEEB'!$A$5:$A$249,21),'[1]Top25BEEB'!$A$5:$P$249,4,FALSE)/VLOOKUP(LARGE('[1]Top25BEEB'!$A$5:$A$249,21),'[1]Top25BEEB'!$A$5:$P$249,9,FALSE)*100</f>
        <v>0</v>
      </c>
      <c r="J23" s="14">
        <f>VLOOKUP(LARGE('[1]Top25BEEB'!$A$5:$A$249,21),'[1]Top25BEEB'!$A$5:$P$249,5,FALSE)/VLOOKUP(LARGE('[1]Top25BEEB'!$A$5:$A$249,21),'[1]Top25BEEB'!$A$5:$P$249,9,FALSE)*100</f>
        <v>10.476190476190476</v>
      </c>
      <c r="K23" s="14">
        <f>VLOOKUP(LARGE('[1]Top25BEEB'!$A$5:$A$249,21),'[1]Top25BEEB'!$A$5:$P$249,6,FALSE)/VLOOKUP(LARGE('[1]Top25BEEB'!$A$5:$A$249,21),'[1]Top25BEEB'!$A$5:$P$249,9,FALSE)*100</f>
        <v>21.904761904761905</v>
      </c>
      <c r="L23" s="14">
        <f>VLOOKUP(LARGE('[1]Top25BEEB'!$A$5:$A$249,21),'[1]Top25BEEB'!$A$5:$P$249,7,FALSE)/VLOOKUP(LARGE('[1]Top25BEEB'!$A$5:$A$249,21),'[1]Top25BEEB'!$A$5:$P$249,9,FALSE)*100</f>
        <v>67.61904761904762</v>
      </c>
    </row>
    <row r="24" spans="1:12" ht="11.25">
      <c r="A24" s="8" t="str">
        <f>VLOOKUP(LARGE('[1]Top25BEEB'!$A$5:$C$249,22),'[1]Top25BEEB'!$A$5:$C$249,3,FALSE)</f>
        <v>LAPAROSCOPIC CHOLECYSTECTOMY                                                      </v>
      </c>
      <c r="B24" s="9">
        <f>VLOOKUP(LARGE('[1]Top25BEEB'!$A$5:$C$249,22),'[1]Top25BEEB'!$A$5:$C$249,1,FALSE)</f>
        <v>103</v>
      </c>
      <c r="C24" s="10">
        <f>VLOOKUP(LARGE('[1]Top25BEEB'!$A$5:$C$249,22),'[1]Top25BEEB'!$A$5:$C$249,1,FALSE)/'[1]Top25BEEB'!$I$250*100</f>
        <v>1.7594806969593442</v>
      </c>
      <c r="D24" s="10">
        <f>(VLOOKUP(LARGE('[1]Top25BEEB'!$A$5:$C$249,22),'[1]Top25BEEB'!$A$5:$C$249,1,FALSE)/'[1]Top25BEEB'!$I$251*100)</f>
        <v>1.0319607253782186</v>
      </c>
      <c r="E24" s="10">
        <f>VLOOKUP(LARGE('[1]Top25BEEB'!$A$5:$A$249,22),'[1]Top25BEEB'!$A$5:$P$249,14,FALSE)</f>
        <v>3.8</v>
      </c>
      <c r="F24" s="11">
        <f>VLOOKUP(LARGE('[1]Top25BEEB'!$A$5:$A$249,22),'[1]Top25BEEB'!$A$5:$P$249,15,FALSE)</f>
        <v>32681.68</v>
      </c>
      <c r="G24" s="12">
        <f>VLOOKUP(LARGE('[1]Top25BEEB'!$A$5:$A$249,22),'[1]Top25BEEB'!$A$5:$P$249,10,FALSE)/VLOOKUP(LARGE('[1]Top25BEEB'!$A$5:$A$249,22),'[1]Top25BEEB'!$A$5:$P$249,13,FALSE)*100</f>
        <v>40.77669902912621</v>
      </c>
      <c r="H24" s="13">
        <f>VLOOKUP(LARGE('[1]Top25BEEB'!$A$5:$A$249,22),'[1]Top25BEEB'!$A$5:$P$249,11,FALSE)/VLOOKUP(LARGE('[1]Top25BEEB'!$A$5:$A$249,22),'[1]Top25BEEB'!$A$5:$P$249,13,FALSE)*100</f>
        <v>59.22330097087378</v>
      </c>
      <c r="I24" s="12">
        <f>VLOOKUP(LARGE('[1]Top25BEEB'!$A$5:$A$249,22),'[1]Top25BEEB'!$A$5:$P$249,4,FALSE)/VLOOKUP(LARGE('[1]Top25BEEB'!$A$5:$A$249,22),'[1]Top25BEEB'!$A$5:$P$249,9,FALSE)*100</f>
        <v>1.9417475728155338</v>
      </c>
      <c r="J24" s="14">
        <f>VLOOKUP(LARGE('[1]Top25BEEB'!$A$5:$A$249,22),'[1]Top25BEEB'!$A$5:$P$249,5,FALSE)/VLOOKUP(LARGE('[1]Top25BEEB'!$A$5:$A$249,22),'[1]Top25BEEB'!$A$5:$P$249,9,FALSE)*100</f>
        <v>24.271844660194176</v>
      </c>
      <c r="K24" s="14">
        <f>VLOOKUP(LARGE('[1]Top25BEEB'!$A$5:$A$249,22),'[1]Top25BEEB'!$A$5:$P$249,6,FALSE)/VLOOKUP(LARGE('[1]Top25BEEB'!$A$5:$A$249,22),'[1]Top25BEEB'!$A$5:$P$249,9,FALSE)*100</f>
        <v>33.00970873786408</v>
      </c>
      <c r="L24" s="14">
        <f>VLOOKUP(LARGE('[1]Top25BEEB'!$A$5:$A$249,22),'[1]Top25BEEB'!$A$5:$P$249,7,FALSE)/VLOOKUP(LARGE('[1]Top25BEEB'!$A$5:$A$249,22),'[1]Top25BEEB'!$A$5:$P$249,9,FALSE)*100</f>
        <v>40.77669902912621</v>
      </c>
    </row>
    <row r="25" spans="1:12" ht="11.25">
      <c r="A25" s="8" t="str">
        <f>VLOOKUP(LARGE('[1]Top25BEEB'!$A$5:$C$249,23),'[1]Top25BEEB'!$A$5:$C$249,3,FALSE)</f>
        <v>ACUTE MYOCARDIAL INFARCTION                                                       </v>
      </c>
      <c r="B25" s="9">
        <f>VLOOKUP(LARGE('[1]Top25BEEB'!$A$5:$C$249,23),'[1]Top25BEEB'!$A$5:$C$249,1,FALSE)</f>
        <v>102</v>
      </c>
      <c r="C25" s="10">
        <f>VLOOKUP(LARGE('[1]Top25BEEB'!$A$5:$C$249,23),'[1]Top25BEEB'!$A$5:$C$249,1,FALSE)/'[1]Top25BEEB'!$I$250*100</f>
        <v>1.7423983600956612</v>
      </c>
      <c r="D25" s="10">
        <f>(VLOOKUP(LARGE('[1]Top25BEEB'!$A$5:$C$249,23),'[1]Top25BEEB'!$A$5:$C$249,1,FALSE)/'[1]Top25BEEB'!$I$251*100)</f>
        <v>1.021941689209498</v>
      </c>
      <c r="E25" s="10">
        <f>VLOOKUP(LARGE('[1]Top25BEEB'!$A$5:$A$249,23),'[1]Top25BEEB'!$A$5:$P$249,14,FALSE)</f>
        <v>4.5</v>
      </c>
      <c r="F25" s="11">
        <f>VLOOKUP(LARGE('[1]Top25BEEB'!$A$5:$A$249,23),'[1]Top25BEEB'!$A$5:$P$249,15,FALSE)</f>
        <v>30932.39</v>
      </c>
      <c r="G25" s="12">
        <f>VLOOKUP(LARGE('[1]Top25BEEB'!$A$5:$A$249,23),'[1]Top25BEEB'!$A$5:$P$249,10,FALSE)/VLOOKUP(LARGE('[1]Top25BEEB'!$A$5:$A$249,23),'[1]Top25BEEB'!$A$5:$P$249,13,FALSE)*100</f>
        <v>66.66666666666666</v>
      </c>
      <c r="H25" s="13">
        <f>VLOOKUP(LARGE('[1]Top25BEEB'!$A$5:$A$249,23),'[1]Top25BEEB'!$A$5:$P$249,11,FALSE)/VLOOKUP(LARGE('[1]Top25BEEB'!$A$5:$A$249,23),'[1]Top25BEEB'!$A$5:$P$249,13,FALSE)*100</f>
        <v>33.33333333333333</v>
      </c>
      <c r="I25" s="12">
        <f>VLOOKUP(LARGE('[1]Top25BEEB'!$A$5:$A$249,23),'[1]Top25BEEB'!$A$5:$P$249,4,FALSE)/VLOOKUP(LARGE('[1]Top25BEEB'!$A$5:$A$249,23),'[1]Top25BEEB'!$A$5:$P$249,9,FALSE)*100</f>
        <v>0</v>
      </c>
      <c r="J25" s="14">
        <f>VLOOKUP(LARGE('[1]Top25BEEB'!$A$5:$A$249,23),'[1]Top25BEEB'!$A$5:$P$249,5,FALSE)/VLOOKUP(LARGE('[1]Top25BEEB'!$A$5:$A$249,23),'[1]Top25BEEB'!$A$5:$P$249,9,FALSE)*100</f>
        <v>3.9215686274509802</v>
      </c>
      <c r="K25" s="14">
        <f>VLOOKUP(LARGE('[1]Top25BEEB'!$A$5:$A$249,23),'[1]Top25BEEB'!$A$5:$P$249,6,FALSE)/VLOOKUP(LARGE('[1]Top25BEEB'!$A$5:$A$249,23),'[1]Top25BEEB'!$A$5:$P$249,9,FALSE)*100</f>
        <v>21.568627450980394</v>
      </c>
      <c r="L25" s="14">
        <f>VLOOKUP(LARGE('[1]Top25BEEB'!$A$5:$A$249,23),'[1]Top25BEEB'!$A$5:$P$249,7,FALSE)/VLOOKUP(LARGE('[1]Top25BEEB'!$A$5:$A$249,23),'[1]Top25BEEB'!$A$5:$P$249,9,FALSE)*100</f>
        <v>74.50980392156863</v>
      </c>
    </row>
    <row r="26" spans="1:12" ht="11.25">
      <c r="A26" s="8" t="str">
        <f>VLOOKUP(LARGE('[1]Top25BEEB'!$A$5:$C$249,24),'[1]Top25BEEB'!$A$5:$C$249,3,FALSE)</f>
        <v>PERCUTANEOUS CARDIOVASCULAR PROCEDURES W AMI                                      </v>
      </c>
      <c r="B26" s="9">
        <f>VLOOKUP(LARGE('[1]Top25BEEB'!$A$5:$C$249,24),'[1]Top25BEEB'!$A$5:$C$249,1,FALSE)</f>
        <v>99</v>
      </c>
      <c r="C26" s="10">
        <f>VLOOKUP(LARGE('[1]Top25BEEB'!$A$5:$C$249,24),'[1]Top25BEEB'!$A$5:$C$249,1,FALSE)/'[1]Top25BEEB'!$I$250*100</f>
        <v>1.6911513495046122</v>
      </c>
      <c r="D26" s="10">
        <f>(VLOOKUP(LARGE('[1]Top25BEEB'!$A$5:$C$249,24),'[1]Top25BEEB'!$A$5:$C$249,1,FALSE)/'[1]Top25BEEB'!$I$251*100)</f>
        <v>0.9918845807033363</v>
      </c>
      <c r="E26" s="10">
        <f>VLOOKUP(LARGE('[1]Top25BEEB'!$A$5:$A$249,24),'[1]Top25BEEB'!$A$5:$P$249,14,FALSE)</f>
        <v>3.5</v>
      </c>
      <c r="F26" s="11">
        <f>VLOOKUP(LARGE('[1]Top25BEEB'!$A$5:$A$249,24),'[1]Top25BEEB'!$A$5:$P$249,15,FALSE)</f>
        <v>58680.62</v>
      </c>
      <c r="G26" s="12">
        <f>VLOOKUP(LARGE('[1]Top25BEEB'!$A$5:$A$249,24),'[1]Top25BEEB'!$A$5:$P$249,10,FALSE)/VLOOKUP(LARGE('[1]Top25BEEB'!$A$5:$A$249,24),'[1]Top25BEEB'!$A$5:$P$249,13,FALSE)*100</f>
        <v>62.62626262626263</v>
      </c>
      <c r="H26" s="13">
        <f>VLOOKUP(LARGE('[1]Top25BEEB'!$A$5:$A$249,24),'[1]Top25BEEB'!$A$5:$P$249,11,FALSE)/VLOOKUP(LARGE('[1]Top25BEEB'!$A$5:$A$249,24),'[1]Top25BEEB'!$A$5:$P$249,13,FALSE)*100</f>
        <v>37.37373737373738</v>
      </c>
      <c r="I26" s="12">
        <f>VLOOKUP(LARGE('[1]Top25BEEB'!$A$5:$A$249,24),'[1]Top25BEEB'!$A$5:$P$249,4,FALSE)/VLOOKUP(LARGE('[1]Top25BEEB'!$A$5:$A$249,24),'[1]Top25BEEB'!$A$5:$P$249,9,FALSE)*100</f>
        <v>0</v>
      </c>
      <c r="J26" s="14">
        <f>VLOOKUP(LARGE('[1]Top25BEEB'!$A$5:$A$249,24),'[1]Top25BEEB'!$A$5:$P$249,5,FALSE)/VLOOKUP(LARGE('[1]Top25BEEB'!$A$5:$A$249,24),'[1]Top25BEEB'!$A$5:$P$249,9,FALSE)*100</f>
        <v>4.040404040404041</v>
      </c>
      <c r="K26" s="14">
        <f>VLOOKUP(LARGE('[1]Top25BEEB'!$A$5:$A$249,24),'[1]Top25BEEB'!$A$5:$P$249,6,FALSE)/VLOOKUP(LARGE('[1]Top25BEEB'!$A$5:$A$249,24),'[1]Top25BEEB'!$A$5:$P$249,9,FALSE)*100</f>
        <v>53.535353535353536</v>
      </c>
      <c r="L26" s="14">
        <f>VLOOKUP(LARGE('[1]Top25BEEB'!$A$5:$A$249,24),'[1]Top25BEEB'!$A$5:$P$249,7,FALSE)/VLOOKUP(LARGE('[1]Top25BEEB'!$A$5:$A$249,24),'[1]Top25BEEB'!$A$5:$P$249,9,FALSE)*100</f>
        <v>42.42424242424242</v>
      </c>
    </row>
    <row r="27" spans="1:12" ht="12" thickBot="1">
      <c r="A27" s="15" t="str">
        <f>VLOOKUP(LARGE('[1]Top25BEEB'!$A$5:$C$249,25),'[1]Top25BEEB'!$A$5:$C$249,3,FALSE)</f>
        <v>MAJOR RESPIRATORY INFECTIONS &amp; INFLAMMATIONS                                      </v>
      </c>
      <c r="B27" s="16">
        <f>VLOOKUP(LARGE('[1]Top25BEEB'!$A$5:$C$249,25),'[1]Top25BEEB'!$A$5:$C$249,1,FALSE)</f>
        <v>98</v>
      </c>
      <c r="C27" s="17">
        <f>VLOOKUP(LARGE('[1]Top25BEEB'!$A$5:$C$249,25),'[1]Top25BEEB'!$A$5:$C$249,1,FALSE)/'[1]Top25BEEB'!$I$250*100</f>
        <v>1.6740690126409292</v>
      </c>
      <c r="D27" s="17">
        <f>(VLOOKUP(LARGE('[1]Top25BEEB'!$A$5:$C$249,25),'[1]Top25BEEB'!$A$5:$C$249,1,FALSE)/'[1]Top25BEEB'!$I$251*100)</f>
        <v>0.9818655445346158</v>
      </c>
      <c r="E27" s="17">
        <f>VLOOKUP(LARGE('[1]Top25BEEB'!$A$5:$A$249,25),'[1]Top25BEEB'!$A$5:$P$249,14,FALSE)</f>
        <v>6.9</v>
      </c>
      <c r="F27" s="18">
        <f>VLOOKUP(LARGE('[1]Top25BEEB'!$A$5:$A$249,25),'[1]Top25BEEB'!$A$5:$P$249,15,FALSE)</f>
        <v>41076.34</v>
      </c>
      <c r="G27" s="19">
        <f>VLOOKUP(LARGE('[1]Top25BEEB'!$A$5:$A$249,25),'[1]Top25BEEB'!$A$5:$P$249,10,FALSE)/VLOOKUP(LARGE('[1]Top25BEEB'!$A$5:$A$249,25),'[1]Top25BEEB'!$A$5:$P$249,13,FALSE)*100</f>
        <v>63.26530612244898</v>
      </c>
      <c r="H27" s="20">
        <f>VLOOKUP(LARGE('[1]Top25BEEB'!$A$5:$A$249,25),'[1]Top25BEEB'!$A$5:$P$249,11,FALSE)/VLOOKUP(LARGE('[1]Top25BEEB'!$A$5:$A$249,25),'[1]Top25BEEB'!$A$5:$P$249,13,FALSE)*100</f>
        <v>36.734693877551024</v>
      </c>
      <c r="I27" s="19">
        <f>VLOOKUP(LARGE('[1]Top25BEEB'!$A$5:$A$249,25),'[1]Top25BEEB'!$A$5:$P$249,4,FALSE)/VLOOKUP(LARGE('[1]Top25BEEB'!$A$5:$A$249,25),'[1]Top25BEEB'!$A$5:$P$249,9,FALSE)*100</f>
        <v>1.0204081632653061</v>
      </c>
      <c r="J27" s="21">
        <f>VLOOKUP(LARGE('[1]Top25BEEB'!$A$5:$A$249,25),'[1]Top25BEEB'!$A$5:$P$249,5,FALSE)/VLOOKUP(LARGE('[1]Top25BEEB'!$A$5:$A$249,25),'[1]Top25BEEB'!$A$5:$P$249,9,FALSE)*100</f>
        <v>4.081632653061225</v>
      </c>
      <c r="K27" s="21">
        <f>VLOOKUP(LARGE('[1]Top25BEEB'!$A$5:$A$249,25),'[1]Top25BEEB'!$A$5:$P$249,6,FALSE)/VLOOKUP(LARGE('[1]Top25BEEB'!$A$5:$A$249,25),'[1]Top25BEEB'!$A$5:$P$249,9,FALSE)*100</f>
        <v>16.3265306122449</v>
      </c>
      <c r="L27" s="21">
        <f>VLOOKUP(LARGE('[1]Top25BEEB'!$A$5:$A$249,25),'[1]Top25BEEB'!$A$5:$P$249,7,FALSE)/VLOOKUP(LARGE('[1]Top25BEEB'!$A$5:$A$249,25),'[1]Top25BEEB'!$A$5:$P$249,9,FALSE)*100</f>
        <v>78.57142857142857</v>
      </c>
    </row>
    <row r="28" spans="3:10" ht="11.25">
      <c r="C28" s="22"/>
      <c r="D28" s="22"/>
      <c r="E28" s="22"/>
      <c r="F28" s="23"/>
      <c r="G28" s="22"/>
      <c r="H28" s="22"/>
      <c r="I28" s="22"/>
      <c r="J28" s="22"/>
    </row>
    <row r="32" spans="1:12" ht="11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1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1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ht="11.25">
      <c r="A35" s="8"/>
      <c r="B35" s="8"/>
      <c r="C35" s="14"/>
      <c r="D35" s="14"/>
      <c r="E35" s="14"/>
      <c r="F35" s="27"/>
      <c r="G35" s="14"/>
      <c r="H35" s="14"/>
      <c r="I35" s="14"/>
      <c r="J35" s="14"/>
      <c r="K35" s="14"/>
      <c r="L35" s="14"/>
    </row>
    <row r="36" spans="1:12" ht="11.25">
      <c r="A36" s="8"/>
      <c r="B36" s="8"/>
      <c r="C36" s="14"/>
      <c r="D36" s="14"/>
      <c r="E36" s="14"/>
      <c r="F36" s="27"/>
      <c r="G36" s="14"/>
      <c r="H36" s="14"/>
      <c r="I36" s="14"/>
      <c r="J36" s="14"/>
      <c r="K36" s="14"/>
      <c r="L36" s="14"/>
    </row>
    <row r="37" spans="1:12" ht="11.25">
      <c r="A37" s="8"/>
      <c r="B37" s="8"/>
      <c r="C37" s="14"/>
      <c r="D37" s="14"/>
      <c r="E37" s="14"/>
      <c r="F37" s="27"/>
      <c r="G37" s="14"/>
      <c r="H37" s="14"/>
      <c r="I37" s="14"/>
      <c r="J37" s="14"/>
      <c r="K37" s="14"/>
      <c r="L37" s="14"/>
    </row>
    <row r="38" spans="1:12" ht="11.25">
      <c r="A38" s="8"/>
      <c r="B38" s="8"/>
      <c r="C38" s="14"/>
      <c r="D38" s="14"/>
      <c r="E38" s="14"/>
      <c r="F38" s="27"/>
      <c r="G38" s="14"/>
      <c r="H38" s="14"/>
      <c r="I38" s="14"/>
      <c r="J38" s="14"/>
      <c r="K38" s="14"/>
      <c r="L38" s="14"/>
    </row>
    <row r="39" spans="1:12" ht="11.25">
      <c r="A39" s="8"/>
      <c r="B39" s="8"/>
      <c r="C39" s="14"/>
      <c r="D39" s="14"/>
      <c r="E39" s="14"/>
      <c r="F39" s="27"/>
      <c r="G39" s="14"/>
      <c r="H39" s="14"/>
      <c r="I39" s="14"/>
      <c r="J39" s="14"/>
      <c r="K39" s="14"/>
      <c r="L39" s="14"/>
    </row>
    <row r="40" spans="1:12" ht="11.25">
      <c r="A40" s="8"/>
      <c r="B40" s="8"/>
      <c r="C40" s="14"/>
      <c r="D40" s="14"/>
      <c r="E40" s="14"/>
      <c r="F40" s="27"/>
      <c r="G40" s="14"/>
      <c r="H40" s="14"/>
      <c r="I40" s="14"/>
      <c r="J40" s="14"/>
      <c r="K40" s="14"/>
      <c r="L40" s="14"/>
    </row>
    <row r="41" spans="1:12" ht="11.25">
      <c r="A41" s="8"/>
      <c r="B41" s="8"/>
      <c r="C41" s="14"/>
      <c r="D41" s="14"/>
      <c r="E41" s="14"/>
      <c r="F41" s="27"/>
      <c r="G41" s="14"/>
      <c r="H41" s="14"/>
      <c r="I41" s="14"/>
      <c r="J41" s="14"/>
      <c r="K41" s="14"/>
      <c r="L41" s="14"/>
    </row>
    <row r="42" spans="1:12" ht="11.25">
      <c r="A42" s="8"/>
      <c r="B42" s="8"/>
      <c r="C42" s="14"/>
      <c r="D42" s="14"/>
      <c r="E42" s="14"/>
      <c r="F42" s="27"/>
      <c r="G42" s="14"/>
      <c r="H42" s="14"/>
      <c r="I42" s="14"/>
      <c r="J42" s="14"/>
      <c r="K42" s="14"/>
      <c r="L42" s="14"/>
    </row>
    <row r="43" spans="1:12" ht="11.25">
      <c r="A43" s="8"/>
      <c r="B43" s="8"/>
      <c r="C43" s="14"/>
      <c r="D43" s="14"/>
      <c r="E43" s="14"/>
      <c r="F43" s="27"/>
      <c r="G43" s="14"/>
      <c r="H43" s="14"/>
      <c r="I43" s="14"/>
      <c r="J43" s="14"/>
      <c r="K43" s="14"/>
      <c r="L43" s="14"/>
    </row>
    <row r="44" spans="1:12" ht="11.25">
      <c r="A44" s="8"/>
      <c r="B44" s="8"/>
      <c r="C44" s="14"/>
      <c r="D44" s="14"/>
      <c r="E44" s="14"/>
      <c r="F44" s="27"/>
      <c r="G44" s="14"/>
      <c r="H44" s="14"/>
      <c r="I44" s="14"/>
      <c r="J44" s="14"/>
      <c r="K44" s="14"/>
      <c r="L44" s="14"/>
    </row>
    <row r="45" spans="1:12" ht="11.25">
      <c r="A45" s="8"/>
      <c r="B45" s="8"/>
      <c r="C45" s="14"/>
      <c r="D45" s="14"/>
      <c r="E45" s="14"/>
      <c r="F45" s="27"/>
      <c r="G45" s="14"/>
      <c r="H45" s="14"/>
      <c r="I45" s="14"/>
      <c r="J45" s="14"/>
      <c r="K45" s="14"/>
      <c r="L45" s="14"/>
    </row>
    <row r="46" spans="1:12" ht="11.25">
      <c r="A46" s="8"/>
      <c r="B46" s="8"/>
      <c r="C46" s="14"/>
      <c r="D46" s="14"/>
      <c r="E46" s="14"/>
      <c r="F46" s="27"/>
      <c r="G46" s="14"/>
      <c r="H46" s="14"/>
      <c r="I46" s="14"/>
      <c r="J46" s="14"/>
      <c r="K46" s="14"/>
      <c r="L46" s="14"/>
    </row>
    <row r="47" spans="1:12" ht="11.25">
      <c r="A47" s="8"/>
      <c r="B47" s="8"/>
      <c r="C47" s="14"/>
      <c r="D47" s="14"/>
      <c r="E47" s="14"/>
      <c r="F47" s="27"/>
      <c r="G47" s="14"/>
      <c r="H47" s="14"/>
      <c r="I47" s="14"/>
      <c r="J47" s="14"/>
      <c r="K47" s="14"/>
      <c r="L47" s="14"/>
    </row>
    <row r="48" spans="1:12" ht="11.25">
      <c r="A48" s="8"/>
      <c r="B48" s="8"/>
      <c r="C48" s="14"/>
      <c r="D48" s="14"/>
      <c r="E48" s="14"/>
      <c r="F48" s="27"/>
      <c r="G48" s="14"/>
      <c r="H48" s="14"/>
      <c r="I48" s="14"/>
      <c r="J48" s="14"/>
      <c r="K48" s="14"/>
      <c r="L48" s="14"/>
    </row>
    <row r="49" spans="1:12" ht="11.25">
      <c r="A49" s="8"/>
      <c r="B49" s="8"/>
      <c r="C49" s="14"/>
      <c r="D49" s="14"/>
      <c r="E49" s="14"/>
      <c r="F49" s="27"/>
      <c r="G49" s="14"/>
      <c r="H49" s="14"/>
      <c r="I49" s="14"/>
      <c r="J49" s="14"/>
      <c r="K49" s="14"/>
      <c r="L49" s="14"/>
    </row>
    <row r="50" spans="1:12" ht="11.25">
      <c r="A50" s="8"/>
      <c r="B50" s="8"/>
      <c r="C50" s="14"/>
      <c r="D50" s="14"/>
      <c r="E50" s="14"/>
      <c r="F50" s="27"/>
      <c r="G50" s="14"/>
      <c r="H50" s="14"/>
      <c r="I50" s="14"/>
      <c r="J50" s="14"/>
      <c r="K50" s="14"/>
      <c r="L50" s="14"/>
    </row>
    <row r="51" spans="1:12" ht="11.25">
      <c r="A51" s="8"/>
      <c r="B51" s="8"/>
      <c r="C51" s="14"/>
      <c r="D51" s="14"/>
      <c r="E51" s="14"/>
      <c r="F51" s="27"/>
      <c r="G51" s="14"/>
      <c r="H51" s="14"/>
      <c r="I51" s="14"/>
      <c r="J51" s="14"/>
      <c r="K51" s="14"/>
      <c r="L51" s="14"/>
    </row>
    <row r="52" spans="1:12" ht="11.25">
      <c r="A52" s="8"/>
      <c r="B52" s="8"/>
      <c r="C52" s="14"/>
      <c r="D52" s="14"/>
      <c r="E52" s="14"/>
      <c r="F52" s="27"/>
      <c r="G52" s="14"/>
      <c r="H52" s="14"/>
      <c r="I52" s="14"/>
      <c r="J52" s="14"/>
      <c r="K52" s="14"/>
      <c r="L52" s="14"/>
    </row>
    <row r="53" spans="1:12" ht="11.25">
      <c r="A53" s="8"/>
      <c r="B53" s="8"/>
      <c r="C53" s="14"/>
      <c r="D53" s="14"/>
      <c r="E53" s="14"/>
      <c r="F53" s="27"/>
      <c r="G53" s="14"/>
      <c r="H53" s="14"/>
      <c r="I53" s="14"/>
      <c r="J53" s="14"/>
      <c r="K53" s="14"/>
      <c r="L53" s="14"/>
    </row>
    <row r="54" spans="1:12" ht="11.25">
      <c r="A54" s="8"/>
      <c r="B54" s="8"/>
      <c r="C54" s="14"/>
      <c r="D54" s="14"/>
      <c r="E54" s="14"/>
      <c r="F54" s="27"/>
      <c r="G54" s="14"/>
      <c r="H54" s="14"/>
      <c r="I54" s="14"/>
      <c r="J54" s="14"/>
      <c r="K54" s="14"/>
      <c r="L54" s="14"/>
    </row>
    <row r="55" spans="1:12" ht="11.25">
      <c r="A55" s="8"/>
      <c r="B55" s="8"/>
      <c r="C55" s="14"/>
      <c r="D55" s="14"/>
      <c r="E55" s="14"/>
      <c r="F55" s="27"/>
      <c r="G55" s="14"/>
      <c r="H55" s="14"/>
      <c r="I55" s="14"/>
      <c r="J55" s="14"/>
      <c r="K55" s="14"/>
      <c r="L55" s="14"/>
    </row>
    <row r="56" spans="1:12" ht="11.25">
      <c r="A56" s="8"/>
      <c r="B56" s="8"/>
      <c r="C56" s="14"/>
      <c r="D56" s="14"/>
      <c r="E56" s="14"/>
      <c r="F56" s="27"/>
      <c r="G56" s="14"/>
      <c r="H56" s="14"/>
      <c r="I56" s="14"/>
      <c r="J56" s="14"/>
      <c r="K56" s="14"/>
      <c r="L56" s="14"/>
    </row>
    <row r="57" spans="1:12" ht="11.25">
      <c r="A57" s="8"/>
      <c r="B57" s="8"/>
      <c r="C57" s="14"/>
      <c r="D57" s="14"/>
      <c r="E57" s="14"/>
      <c r="F57" s="27"/>
      <c r="G57" s="14"/>
      <c r="H57" s="14"/>
      <c r="I57" s="14"/>
      <c r="J57" s="14"/>
      <c r="K57" s="14"/>
      <c r="L57" s="14"/>
    </row>
    <row r="58" spans="1:12" ht="11.25">
      <c r="A58" s="8"/>
      <c r="B58" s="8"/>
      <c r="C58" s="14"/>
      <c r="D58" s="14"/>
      <c r="E58" s="14"/>
      <c r="F58" s="27"/>
      <c r="G58" s="14"/>
      <c r="H58" s="14"/>
      <c r="I58" s="14"/>
      <c r="J58" s="14"/>
      <c r="K58" s="14"/>
      <c r="L58" s="14"/>
    </row>
    <row r="59" spans="1:12" ht="11.25">
      <c r="A59" s="8"/>
      <c r="B59" s="8"/>
      <c r="C59" s="14"/>
      <c r="D59" s="14"/>
      <c r="E59" s="14"/>
      <c r="F59" s="27"/>
      <c r="G59" s="14"/>
      <c r="H59" s="14"/>
      <c r="I59" s="14"/>
      <c r="J59" s="14"/>
      <c r="K59" s="14"/>
      <c r="L59" s="1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barbara.gladders</dc:creator>
  <cp:keywords/>
  <dc:description/>
  <cp:lastModifiedBy>maridelle.dizon</cp:lastModifiedBy>
  <dcterms:created xsi:type="dcterms:W3CDTF">2012-06-12T20:03:15Z</dcterms:created>
  <dcterms:modified xsi:type="dcterms:W3CDTF">2012-06-13T13:28:17Z</dcterms:modified>
  <cp:category/>
  <cp:version/>
  <cp:contentType/>
  <cp:contentStatus/>
</cp:coreProperties>
</file>